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enstplan" sheetId="1" state="visible" r:id="rId3"/>
    <sheet name="Auswertung" sheetId="2" state="visible" r:id="rId4"/>
    <sheet name="Listen" sheetId="3" state="visible" r:id="rId5"/>
  </sheets>
  <definedNames>
    <definedName function="false" hidden="false" localSheetId="0" name="_xlnm.Print_Area" vbProcedure="false">Dienstplan!$A$1:$AQ$29</definedName>
    <definedName function="false" hidden="false" localSheetId="2" name="_xlnm.Print_Area" vbProcedure="false">Listen!$A$1:$H$42</definedName>
    <definedName function="false" hidden="false" name="Jahr" vbProcedure="false">Dienstplan!$K$5</definedName>
    <definedName function="false" hidden="false" name="Monat" vbProcedure="false">Dienstplan!$K$4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<sst xmlns="http://schemas.openxmlformats.org/spreadsheetml/2006/main" count="467" uniqueCount="143">
  <si>
    <t xml:space="preserve">DIENSTPLAN</t>
  </si>
  <si>
    <t xml:space="preserve">Unternehmen</t>
  </si>
  <si>
    <t xml:space="preserve">Muster Dienstleistungs GmbH</t>
  </si>
  <si>
    <t xml:space="preserve">Monat</t>
  </si>
  <si>
    <t xml:space="preserve">Erstellt von</t>
  </si>
  <si>
    <t xml:space="preserve">S. Albrecht</t>
  </si>
  <si>
    <t xml:space="preserve">Abteilung / Team</t>
  </si>
  <si>
    <t xml:space="preserve">Team A</t>
  </si>
  <si>
    <t xml:space="preserve">Jahr</t>
  </si>
  <si>
    <t xml:space="preserve">Stand</t>
  </si>
  <si>
    <t xml:space="preserve">Version 1.0 – 20.03.2026</t>
  </si>
  <si>
    <t xml:space="preserve">Standort</t>
  </si>
  <si>
    <t xml:space="preserve">Musterstadt</t>
  </si>
  <si>
    <t xml:space="preserve">Planungsmonat</t>
  </si>
  <si>
    <t xml:space="preserve">Aushang</t>
  </si>
  <si>
    <t xml:space="preserve">mind. 4 Tage im Voraus aushängen (§ ArbZG)</t>
  </si>
  <si>
    <t xml:space="preserve">Neujahr</t>
  </si>
  <si>
    <t xml:space="preserve">Nr</t>
  </si>
  <si>
    <t xml:space="preserve">Mitarbeiter</t>
  </si>
  <si>
    <t xml:space="preserve">Qualifikation</t>
  </si>
  <si>
    <t xml:space="preserve">Beschäft.</t>
  </si>
  <si>
    <t xml:space="preserve">Soll
h</t>
  </si>
  <si>
    <t xml:space="preserve">Ist
h</t>
  </si>
  <si>
    <t xml:space="preserve">Saldo
h</t>
  </si>
  <si>
    <t xml:space="preserve">Aus-
last.</t>
  </si>
  <si>
    <t xml:space="preserve">Diens-
te</t>
  </si>
  <si>
    <t xml:space="preserve">Ur-
laub</t>
  </si>
  <si>
    <t xml:space="preserve">Krank</t>
  </si>
  <si>
    <t xml:space="preserve">Ruhe
⚠</t>
  </si>
  <si>
    <t xml:space="preserve">Karfreitag</t>
  </si>
  <si>
    <t xml:space="preserve">Ostermontag</t>
  </si>
  <si>
    <t xml:space="preserve">Bergmann, Katrin</t>
  </si>
  <si>
    <t xml:space="preserve">Teamleitung</t>
  </si>
  <si>
    <t xml:space="preserve">Vollzeit</t>
  </si>
  <si>
    <t xml:space="preserve">F</t>
  </si>
  <si>
    <t xml:space="preserve">FR</t>
  </si>
  <si>
    <t xml:space="preserve">S</t>
  </si>
  <si>
    <t xml:space="preserve">N</t>
  </si>
  <si>
    <t xml:space="preserve">Tag der Arbeit</t>
  </si>
  <si>
    <t xml:space="preserve">Hoffmann, Lukas</t>
  </si>
  <si>
    <t xml:space="preserve">Fachkraft</t>
  </si>
  <si>
    <t xml:space="preserve">FB</t>
  </si>
  <si>
    <t xml:space="preserve">Christi Himmelfahrt</t>
  </si>
  <si>
    <t xml:space="preserve">Voss, Miriam</t>
  </si>
  <si>
    <t xml:space="preserve">U</t>
  </si>
  <si>
    <t xml:space="preserve">Pfingstmontag</t>
  </si>
  <si>
    <t xml:space="preserve">Rieder, Tobias</t>
  </si>
  <si>
    <t xml:space="preserve">K</t>
  </si>
  <si>
    <t xml:space="preserve">Tag der Deutschen Einheit</t>
  </si>
  <si>
    <t xml:space="preserve">Klein, Sandra</t>
  </si>
  <si>
    <t xml:space="preserve">Teilzeit</t>
  </si>
  <si>
    <t xml:space="preserve">1. Weihnachtstag</t>
  </si>
  <si>
    <t xml:space="preserve">Wenzel, Aylin</t>
  </si>
  <si>
    <t xml:space="preserve">2. Weihnachtstag</t>
  </si>
  <si>
    <t xml:space="preserve">Brandt, Nils</t>
  </si>
  <si>
    <t xml:space="preserve">Auszubildender</t>
  </si>
  <si>
    <t xml:space="preserve">Z</t>
  </si>
  <si>
    <t xml:space="preserve">Lang, Petra</t>
  </si>
  <si>
    <t xml:space="preserve">Stein, Marco</t>
  </si>
  <si>
    <t xml:space="preserve">Aushilfe</t>
  </si>
  <si>
    <t xml:space="preserve">Minijob</t>
  </si>
  <si>
    <t xml:space="preserve">Besetzung Frühdienst (F)</t>
  </si>
  <si>
    <t xml:space="preserve">Besetzung Spätdienst (S)</t>
  </si>
  <si>
    <t xml:space="preserve">Besetzung Nachtdienst (N)</t>
  </si>
  <si>
    <t xml:space="preserve">Mitarbeiter im Dienst</t>
  </si>
  <si>
    <t xml:space="preserve">Stunden gesamt / Tag</t>
  </si>
  <si>
    <t xml:space="preserve">Legende:  F Früh · S Spät · N Nacht · Z Zwischen · FB Fortbildung · FR Frei · U Urlaub · K Krank    |    rosa = Eingabe · grau = Formel    |    Dienstarten &amp; Stunden auf Blatt „Listen“ pflegen</t>
  </si>
  <si>
    <t xml:space="preserve">AUSWERTUNG</t>
  </si>
  <si>
    <t xml:space="preserve">Mitarbeitende</t>
  </si>
  <si>
    <t xml:space="preserve">Geplante Dienste</t>
  </si>
  <si>
    <t xml:space="preserve">Geplante Stunden</t>
  </si>
  <si>
    <t xml:space="preserve">Ø Std. / Mitarbeiter</t>
  </si>
  <si>
    <t xml:space="preserve">Ø Auslastung</t>
  </si>
  <si>
    <t xml:space="preserve">Urlaubstage</t>
  </si>
  <si>
    <t xml:space="preserve">Kranktage</t>
  </si>
  <si>
    <t xml:space="preserve">Ruhezeit-Konflikte</t>
  </si>
  <si>
    <t xml:space="preserve">Soll-Ist je Mitarbeiter</t>
  </si>
  <si>
    <t xml:space="preserve">Soll h</t>
  </si>
  <si>
    <t xml:space="preserve">Ist h</t>
  </si>
  <si>
    <t xml:space="preserve">Saldo h</t>
  </si>
  <si>
    <t xml:space="preserve">Auslast.</t>
  </si>
  <si>
    <t xml:space="preserve">Dienste</t>
  </si>
  <si>
    <t xml:space="preserve">Urlaub</t>
  </si>
  <si>
    <t xml:space="preserve">Ruhe ⚠</t>
  </si>
  <si>
    <t xml:space="preserve">Summe / Ø</t>
  </si>
  <si>
    <t xml:space="preserve">Dienstarten-Verteilung</t>
  </si>
  <si>
    <t xml:space="preserve">Dienstart</t>
  </si>
  <si>
    <t xml:space="preserve">Kürzel</t>
  </si>
  <si>
    <t xml:space="preserve">Anzahl</t>
  </si>
  <si>
    <t xml:space="preserve">Stunden</t>
  </si>
  <si>
    <t xml:space="preserve">Summe</t>
  </si>
  <si>
    <t xml:space="preserve">LISTEN &amp; PARAMETER</t>
  </si>
  <si>
    <t xml:space="preserve">Dienstarten, Mindestbesetzung, Minijob-Grenze &amp; Feiertage – hier pflegen, der Plan rechnet automatisch.</t>
  </si>
  <si>
    <t xml:space="preserve">Bezeichnung</t>
  </si>
  <si>
    <t xml:space="preserve">Beginn</t>
  </si>
  <si>
    <t xml:space="preserve">Ende</t>
  </si>
  <si>
    <t xml:space="preserve">Std</t>
  </si>
  <si>
    <t xml:space="preserve">Dienst</t>
  </si>
  <si>
    <t xml:space="preserve">Flag</t>
  </si>
  <si>
    <t xml:space="preserve">Frühdienst</t>
  </si>
  <si>
    <t xml:space="preserve">06:00</t>
  </si>
  <si>
    <t xml:space="preserve">14:00</t>
  </si>
  <si>
    <t xml:space="preserve">ja</t>
  </si>
  <si>
    <t xml:space="preserve">Spätdienst</t>
  </si>
  <si>
    <t xml:space="preserve">22:00</t>
  </si>
  <si>
    <t xml:space="preserve">Nachtdienst</t>
  </si>
  <si>
    <t xml:space="preserve">Zwischendienst</t>
  </si>
  <si>
    <t xml:space="preserve">09:00</t>
  </si>
  <si>
    <t xml:space="preserve">17:00</t>
  </si>
  <si>
    <t xml:space="preserve">Fortbildung</t>
  </si>
  <si>
    <t xml:space="preserve">08:00</t>
  </si>
  <si>
    <t xml:space="preserve">16:00</t>
  </si>
  <si>
    <t xml:space="preserve">nein</t>
  </si>
  <si>
    <t xml:space="preserve">Frei / dienstfrei</t>
  </si>
  <si>
    <t xml:space="preserve">–</t>
  </si>
  <si>
    <t xml:space="preserve">Krank (AU)</t>
  </si>
  <si>
    <t xml:space="preserve">PARAMETER</t>
  </si>
  <si>
    <t xml:space="preserve">Datum</t>
  </si>
  <si>
    <t xml:space="preserve">Gesetzlicher Feiertag 2026 (bundesweit)</t>
  </si>
  <si>
    <t xml:space="preserve">Mindestbesetzung Frühdienst</t>
  </si>
  <si>
    <t xml:space="preserve">Mindestbesetzung Spätdienst</t>
  </si>
  <si>
    <t xml:space="preserve">Mindestbesetzung Nachtdienst</t>
  </si>
  <si>
    <t xml:space="preserve">Mindestruhezeit (Std., ArbZG § 5)</t>
  </si>
  <si>
    <t xml:space="preserve">Minijob – max. Std./Monat</t>
  </si>
  <si>
    <t xml:space="preserve">Minijob-Grenze (€/Monat, 2026)</t>
  </si>
  <si>
    <t xml:space="preserve">Mindestlohn (€/Std., ab 01.01.2026)</t>
  </si>
  <si>
    <t xml:space="preserve">Regionale Feiertage (z. B. Fronleichnam, Reformationstag, Allerheiligen) bei Bedarf ergänzen.</t>
  </si>
  <si>
    <t xml:space="preserve">ANLEITUNG &amp; HINWEISE</t>
  </si>
  <si>
    <t xml:space="preserve">1.</t>
  </si>
  <si>
    <t xml:space="preserve">Monat und Jahr im Blatt „Dienstplan“ (rosa Felder Monat/Jahr) eingeben – Datumsleiste, Wochentage, Wochenenden und Feiertage stellen sich automatisch ein.</t>
  </si>
  <si>
    <t xml:space="preserve">2.</t>
  </si>
  <si>
    <t xml:space="preserve">Mitarbeitende, Qualifikation, Beschäftigungsart und Soll-Stunden je Monat in die rosa Felder eintragen.</t>
  </si>
  <si>
    <t xml:space="preserve">3.</t>
  </si>
  <si>
    <t xml:space="preserve">In der Tagesraster-Fläche je Person und Tag ein Kürzel wählen (Dropdown: F/S/N/Z/FB/FR/U/K). Grau hinterlegte Spalten rechnen automatisch.</t>
  </si>
  <si>
    <t xml:space="preserve">4.</t>
  </si>
  <si>
    <t xml:space="preserve">Ist-Stunden, Saldo, Auslastung, Dienste sowie Urlaubs-/Kranktage werden je Person berechnet; unten je Tag die Besetzung und die Gesamtstunden.</t>
  </si>
  <si>
    <t xml:space="preserve">5.</t>
  </si>
  <si>
    <t xml:space="preserve">Spalte „Ruhe ⚠“ zählt Ruhezeit-Konflikte (z. B. Nachtdienst → Frühdienst am Folgetag, &lt; 11 Std.). Werte &gt; 0 prüfen.</t>
  </si>
  <si>
    <t xml:space="preserve">6.</t>
  </si>
  <si>
    <t xml:space="preserve">Unterbesetzte Werktage (unter Mindestbesetzung) und Minijob-Überschreitungen werden farbig markiert. Die Auswertung fasst alles zusammen.</t>
  </si>
  <si>
    <t xml:space="preserve">Farb-Legende:</t>
  </si>
  <si>
    <t xml:space="preserve">Frei</t>
  </si>
  <si>
    <t xml:space="preserve">Hinweis: unverbindliche Muster-Vorlage mit fiktiven Beispieldaten. Angaben zu ArbZG, Ruhezeiten, Mindestlohn und Minijob-Grenze ohne Gewähr – im Einzelfall arbeitsrechtlich prüfen.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</si>
</sst>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.0&quot; h&quot;"/>
    <numFmt numFmtId="166" formatCode="0"/>
    <numFmt numFmtId="167" formatCode="mm/dd/yy"/>
    <numFmt numFmtId="168" formatCode="dd\.mm\.yyyy"/>
    <numFmt numFmtId="169" formatCode="General"/>
    <numFmt numFmtId="170" formatCode="0&quot; h&quot;"/>
    <numFmt numFmtId="171" formatCode="\+0.0&quot; h&quot;;\-0.0&quot; h&quot;;0&quot; h&quot;"/>
    <numFmt numFmtId="172" formatCode="0%"/>
    <numFmt numFmtId="173" formatCode="0;;;"/>
    <numFmt numFmtId="174" formatCode="#,##0&quot; €&quot;"/>
    <numFmt numFmtId="175" formatCode="#,##0.00&quot; €&quot;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10.5"/>
      <color rgb="FF7A2E52"/>
      <name val="Calibri"/>
      <family val="0"/>
      <charset val="1"/>
    </font>
    <font>
      <b val="true"/>
      <sz val="9"/>
      <color rgb="FF45566A"/>
      <name val="Calibri"/>
      <family val="0"/>
      <charset val="1"/>
    </font>
    <font>
      <b val="true"/>
      <sz val="10"/>
      <color rgb="FF7A2E52"/>
      <name val="Calibri"/>
      <family val="0"/>
      <charset val="1"/>
    </font>
    <font>
      <i val="true"/>
      <sz val="8.5"/>
      <color rgb="FF7A7580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8.5"/>
      <color rgb="FF8A8A8A"/>
      <name val="Calibri"/>
      <family val="0"/>
      <charset val="1"/>
    </font>
    <font>
      <b val="true"/>
      <sz val="9.5"/>
      <color rgb="FF2B2B2B"/>
      <name val="Calibri"/>
      <family val="0"/>
      <charset val="1"/>
    </font>
    <font>
      <sz val="9"/>
      <color rgb="FF2B2B2B"/>
      <name val="Calibri"/>
      <family val="0"/>
      <charset val="1"/>
    </font>
    <font>
      <b val="true"/>
      <sz val="8.5"/>
      <color rgb="FF2B2B2B"/>
      <name val="Calibri"/>
      <family val="0"/>
      <charset val="1"/>
    </font>
    <font>
      <b val="true"/>
      <sz val="9"/>
      <color rgb="FF2B2B2B"/>
      <name val="Calibri"/>
      <family val="0"/>
      <charset val="1"/>
    </font>
    <font>
      <sz val="8.5"/>
      <color rgb="FF2B2B2B"/>
      <name val="Calibri"/>
      <family val="0"/>
      <charset val="1"/>
    </font>
    <font>
      <b val="true"/>
      <sz val="8.5"/>
      <color rgb="FF45566A"/>
      <name val="Calibri"/>
      <family val="0"/>
      <charset val="1"/>
    </font>
    <font>
      <i val="true"/>
      <sz val="8.5"/>
      <color rgb="FF6E6673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6"/>
      <color rgb="FF7A2E52"/>
      <name val="Calibri"/>
      <family val="0"/>
      <charset val="1"/>
    </font>
    <font>
      <sz val="8.5"/>
      <color rgb="FF45566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5"/>
      <color rgb="FFFFFFFF"/>
      <name val="Calibri"/>
      <family val="0"/>
      <charset val="1"/>
    </font>
    <font>
      <i val="true"/>
      <sz val="9.5"/>
      <color rgb="FF45566A"/>
      <name val="Calibri"/>
      <family val="0"/>
      <charset val="1"/>
    </font>
    <font>
      <sz val="8"/>
      <color rgb="FF9A94A0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"/>
      <color rgb="FF7A2E52"/>
      <name val="Calibri"/>
      <family val="0"/>
      <charset val="1"/>
    </font>
    <font>
      <sz val="9"/>
      <color rgb="FF45566A"/>
      <name val="Calibri"/>
      <family val="0"/>
      <charset val="1"/>
    </font>
    <font>
      <b val="true"/>
      <sz val="9.5"/>
      <color rgb="FF7A2E52"/>
      <name val="Calibri"/>
      <family val="0"/>
      <charset val="1"/>
    </font>
    <font>
      <i val="true"/>
      <sz val="8.5"/>
      <color rgb="FF8A8490"/>
      <name val="Calibri"/>
      <family val="0"/>
      <charset val="1"/>
    </font>
    <font>
      <sz val="9"/>
      <color rgb="FF3A3A3A"/>
      <name val="Calibri"/>
      <family val="0"/>
      <charset val="1"/>
    </font>
    <font>
      <sz val="8.5"/>
      <color rgb="FF3A3A3A"/>
      <name val="Calibri"/>
      <family val="0"/>
      <charset val="1"/>
    </font>
    <font>
      <i val="true"/>
      <sz val="8"/>
      <color rgb="FF8A8490"/>
      <name val="Calibri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7A2E52"/>
        <bgColor rgb="FF9A3B12"/>
      </patternFill>
    </fill>
    <fill>
      <patternFill patternType="solid">
        <fgColor rgb="FFFBEFF4"/>
        <bgColor rgb="FFF3EFF4"/>
      </patternFill>
    </fill>
    <fill>
      <patternFill patternType="solid">
        <fgColor rgb="FFECEAEE"/>
        <bgColor rgb="FFF1EEF1"/>
      </patternFill>
    </fill>
    <fill>
      <patternFill patternType="solid">
        <fgColor rgb="FF45566A"/>
        <bgColor rgb="FF5C6B7E"/>
      </patternFill>
    </fill>
    <fill>
      <patternFill patternType="solid">
        <fgColor rgb="FFFFFFFF"/>
        <bgColor rgb="FFFDF6F9"/>
      </patternFill>
    </fill>
    <fill>
      <patternFill patternType="solid">
        <fgColor rgb="FFFDF6F9"/>
        <bgColor rgb="FFFAF6F8"/>
      </patternFill>
    </fill>
    <fill>
      <patternFill patternType="solid">
        <fgColor rgb="FFF1EEF1"/>
        <bgColor rgb="FFF3EFF4"/>
      </patternFill>
    </fill>
    <fill>
      <patternFill patternType="solid">
        <fgColor rgb="FFB8933F"/>
        <bgColor rgb="FF8A8A8A"/>
      </patternFill>
    </fill>
    <fill>
      <patternFill patternType="solid">
        <fgColor rgb="FFFAF6F8"/>
        <bgColor rgb="FFFDF6F9"/>
      </patternFill>
    </fill>
    <fill>
      <patternFill patternType="solid">
        <fgColor rgb="FFF6E7C4"/>
        <bgColor rgb="FFF7E9CF"/>
      </patternFill>
    </fill>
    <fill>
      <patternFill patternType="solid">
        <fgColor rgb="FFDCE3EC"/>
        <bgColor rgb="FFE4DEEC"/>
      </patternFill>
    </fill>
    <fill>
      <patternFill patternType="solid">
        <fgColor rgb="FFE4DEEC"/>
        <bgColor rgb="FFDCE3EC"/>
      </patternFill>
    </fill>
    <fill>
      <patternFill patternType="solid">
        <fgColor rgb="FFEFE7D6"/>
        <bgColor rgb="FFF7E9CF"/>
      </patternFill>
    </fill>
    <fill>
      <patternFill patternType="solid">
        <fgColor rgb="FFF3DBE6"/>
        <bgColor rgb="FFE4DEEC"/>
      </patternFill>
    </fill>
    <fill>
      <patternFill patternType="solid">
        <fgColor rgb="FFF7E1CC"/>
        <bgColor rgb="FFF6E7C4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B8933F"/>
      </bottom>
      <diagonal/>
    </border>
    <border diagonalUp="false" diagonalDown="false">
      <left style="thin">
        <color rgb="FFDCD5DC"/>
      </left>
      <right style="thin">
        <color rgb="FFDCD5DC"/>
      </right>
      <top style="thin">
        <color rgb="FFDCD5DC"/>
      </top>
      <bottom style="thin">
        <color rgb="FFDCD5DC"/>
      </bottom>
      <diagonal/>
    </border>
    <border diagonalUp="false" diagonalDown="false">
      <left style="hair">
        <color rgb="FFDCD5DC"/>
      </left>
      <right style="hair">
        <color rgb="FFDCD5DC"/>
      </right>
      <top style="hair">
        <color rgb="FFDCD5DC"/>
      </top>
      <bottom style="hair">
        <color rgb="FFDCD5DC"/>
      </bottom>
      <diagonal/>
    </border>
    <border diagonalUp="false" diagonalDown="false">
      <left style="thin">
        <color rgb="FFDCD5DC"/>
      </left>
      <right/>
      <top style="thin">
        <color rgb="FFDCD5DC"/>
      </top>
      <bottom style="thin">
        <color rgb="FFDCD5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18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5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3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3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3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3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ont>
        <name val="Calibri"/>
        <charset val="1"/>
        <family val="0"/>
        <b val="1"/>
        <color rgb="FF2B2B2B"/>
        <sz val="8"/>
      </font>
      <fill>
        <patternFill>
          <bgColor rgb="FFF6E7C4"/>
        </patternFill>
      </fill>
    </dxf>
    <dxf>
      <font>
        <name val="Calibri"/>
        <charset val="1"/>
        <family val="0"/>
        <b val="1"/>
        <color rgb="FF2B2B2B"/>
        <sz val="8"/>
      </font>
      <fill>
        <patternFill>
          <bgColor rgb="FFDCE3EC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45566A"/>
        </patternFill>
      </fill>
    </dxf>
    <dxf>
      <font>
        <name val="Calibri"/>
        <charset val="1"/>
        <family val="0"/>
        <b val="1"/>
        <color rgb="FF2B2B2B"/>
        <sz val="8"/>
      </font>
      <fill>
        <patternFill>
          <bgColor rgb="FFE4DEEC"/>
        </patternFill>
      </fill>
    </dxf>
    <dxf>
      <font>
        <name val="Calibri"/>
        <charset val="1"/>
        <family val="0"/>
        <b val="1"/>
        <color rgb="FF2B2B2B"/>
        <sz val="8"/>
      </font>
      <fill>
        <patternFill>
          <bgColor rgb="FFEFE7D6"/>
        </patternFill>
      </fill>
    </dxf>
    <dxf>
      <font>
        <name val="Calibri"/>
        <charset val="1"/>
        <family val="0"/>
        <b val="1"/>
        <color rgb="FF2B2B2B"/>
        <sz val="8"/>
      </font>
      <fill>
        <patternFill>
          <bgColor rgb="FFECEAEE"/>
        </patternFill>
      </fill>
    </dxf>
    <dxf>
      <font>
        <name val="Calibri"/>
        <charset val="1"/>
        <family val="0"/>
        <b val="1"/>
        <color rgb="FF2B2B2B"/>
        <sz val="8"/>
      </font>
      <fill>
        <patternFill>
          <bgColor rgb="FFF3DBE6"/>
        </patternFill>
      </fill>
    </dxf>
    <dxf>
      <font>
        <name val="Calibri"/>
        <charset val="1"/>
        <family val="0"/>
        <b val="1"/>
        <color rgb="FF2B2B2B"/>
        <sz val="8"/>
      </font>
      <fill>
        <patternFill>
          <bgColor rgb="FFF7E1CC"/>
        </patternFill>
      </fill>
    </dxf>
    <dxf>
      <fill>
        <patternFill>
          <bgColor rgb="FFFBF2DA"/>
        </patternFill>
      </fill>
    </dxf>
    <dxf>
      <fill>
        <patternFill>
          <bgColor rgb="FFF3EFF4"/>
        </patternFill>
      </fill>
    </dxf>
    <dxf>
      <font>
        <name val="Calibri"/>
        <charset val="1"/>
        <family val="0"/>
        <b val="1"/>
        <color rgb="FF8A6212"/>
        <sz val="9"/>
      </font>
      <fill>
        <patternFill>
          <bgColor rgb="FFF7E9CF"/>
        </patternFill>
      </fill>
    </dxf>
    <dxf>
      <font>
        <name val="Calibri"/>
        <charset val="1"/>
        <family val="0"/>
        <b val="1"/>
        <color rgb="FF5C6B7E"/>
        <sz val="9"/>
      </font>
      <fill>
        <patternFill>
          <bgColor rgb="FFDCE3EC"/>
        </patternFill>
      </fill>
    </dxf>
    <dxf>
      <font>
        <name val="Calibri"/>
        <charset val="1"/>
        <family val="0"/>
        <b val="1"/>
        <color rgb="FF9A3B12"/>
        <sz val="9"/>
      </font>
      <fill>
        <patternFill>
          <bgColor rgb="FFF6D5C7"/>
        </patternFill>
      </fill>
    </dxf>
    <dxf>
      <font>
        <name val="Calibri"/>
        <charset val="1"/>
        <family val="0"/>
        <b val="1"/>
        <color rgb="FF8A6212"/>
        <sz val="8"/>
      </font>
      <fill>
        <patternFill>
          <bgColor rgb="FFF7E9CF"/>
        </patternFill>
      </fill>
    </dxf>
    <dxf>
      <font>
        <name val="Calibri"/>
        <charset val="1"/>
        <family val="0"/>
        <b val="1"/>
        <color rgb="FF8A6212"/>
        <sz val="16"/>
      </font>
      <fill>
        <patternFill>
          <bgColor rgb="FFF7E9C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7E9CF"/>
      <rgbColor rgb="FFFF00FF"/>
      <rgbColor rgb="FF00FFFF"/>
      <rgbColor rgb="FF800000"/>
      <rgbColor rgb="FF008000"/>
      <rgbColor rgb="FF000080"/>
      <rgbColor rgb="FF8A6212"/>
      <rgbColor rgb="FF800080"/>
      <rgbColor rgb="FF008080"/>
      <rgbColor rgb="FFD9D9D9"/>
      <rgbColor rgb="FF878787"/>
      <rgbColor rgb="FF8A8490"/>
      <rgbColor rgb="FF7A2E52"/>
      <rgbColor rgb="FFFBF2DA"/>
      <rgbColor rgb="FFDCE3EC"/>
      <rgbColor rgb="FF660066"/>
      <rgbColor rgb="FFFBEFF4"/>
      <rgbColor rgb="FF0066CC"/>
      <rgbColor rgb="FFDCD5DC"/>
      <rgbColor rgb="FF000080"/>
      <rgbColor rgb="FFFF00FF"/>
      <rgbColor rgb="FFF1EEF1"/>
      <rgbColor rgb="FF00FFFF"/>
      <rgbColor rgb="FF800080"/>
      <rgbColor rgb="FF800000"/>
      <rgbColor rgb="FF008080"/>
      <rgbColor rgb="FF0000FF"/>
      <rgbColor rgb="FF00CCFF"/>
      <rgbColor rgb="FFECEAEE"/>
      <rgbColor rgb="FFEFE7D6"/>
      <rgbColor rgb="FFF6E7C4"/>
      <rgbColor rgb="FFE4DEEC"/>
      <rgbColor rgb="FFF3DBE6"/>
      <rgbColor rgb="FF8A8A8A"/>
      <rgbColor rgb="FFF6D5C7"/>
      <rgbColor rgb="FF3366FF"/>
      <rgbColor rgb="FFFAF6F8"/>
      <rgbColor rgb="FFF3EFF4"/>
      <rgbColor rgb="FFF7E1CC"/>
      <rgbColor rgb="FFB8933F"/>
      <rgbColor rgb="FFFDF6F9"/>
      <rgbColor rgb="FF5C6B7E"/>
      <rgbColor rgb="FF9A94A0"/>
      <rgbColor rgb="FF003366"/>
      <rgbColor rgb="FF7A7580"/>
      <rgbColor rgb="FF003300"/>
      <rgbColor rgb="FF2B2B2B"/>
      <rgbColor rgb="FF9A3B12"/>
      <rgbColor rgb="FF6E6673"/>
      <rgbColor rgb="FF45566A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Soll- und Ist-Stunden je Mitarbeiter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Auswertung!D14</c:f>
              <c:strCache>
                <c:ptCount val="1"/>
                <c:pt idx="0">
                  <c:v>Soll h</c:v>
                </c:pt>
              </c:strCache>
            </c:strRef>
          </c:tx>
          <c:spPr>
            <a:solidFill>
              <a:srgbClr val="45566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Auswertung!$B$15:$B$23</c:f>
              <c:strCache>
                <c:ptCount val="9"/>
                <c:pt idx="0">
                  <c:v>Bergmann, Katrin</c:v>
                </c:pt>
                <c:pt idx="1">
                  <c:v>Hoffmann, Lukas</c:v>
                </c:pt>
                <c:pt idx="2">
                  <c:v>Voss, Miriam</c:v>
                </c:pt>
                <c:pt idx="3">
                  <c:v>Rieder, Tobias</c:v>
                </c:pt>
                <c:pt idx="4">
                  <c:v>Klein, Sandra</c:v>
                </c:pt>
                <c:pt idx="5">
                  <c:v>Wenzel, Aylin</c:v>
                </c:pt>
                <c:pt idx="6">
                  <c:v>Brandt, Nils</c:v>
                </c:pt>
                <c:pt idx="7">
                  <c:v>Lang, Petra</c:v>
                </c:pt>
                <c:pt idx="8">
                  <c:v>Stein, Marco</c:v>
                </c:pt>
              </c:strCache>
            </c:strRef>
          </c:cat>
          <c:val>
            <c:numRef>
              <c:f>Auswertung!$D$15:$D$23</c:f>
              <c:numCache>
                <c:formatCode>0" h"</c:formatCode>
                <c:ptCount val="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152</c:v>
                </c:pt>
                <c:pt idx="4">
                  <c:v>100</c:v>
                </c:pt>
                <c:pt idx="5">
                  <c:v>160</c:v>
                </c:pt>
                <c:pt idx="6">
                  <c:v>150</c:v>
                </c:pt>
                <c:pt idx="7">
                  <c:v>120</c:v>
                </c:pt>
                <c:pt idx="8">
                  <c:v>40</c:v>
                </c:pt>
              </c:numCache>
            </c:numRef>
          </c:val>
        </c:ser>
        <c:ser>
          <c:idx val="1"/>
          <c:order val="1"/>
          <c:tx>
            <c:strRef>
              <c:f>Auswertung!E14</c:f>
              <c:strCache>
                <c:ptCount val="1"/>
                <c:pt idx="0">
                  <c:v>Ist h</c:v>
                </c:pt>
              </c:strCache>
            </c:strRef>
          </c:tx>
          <c:spPr>
            <a:solidFill>
              <a:srgbClr val="b8933f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Auswertung!$B$15:$B$23</c:f>
              <c:strCache>
                <c:ptCount val="9"/>
                <c:pt idx="0">
                  <c:v>Bergmann, Katrin</c:v>
                </c:pt>
                <c:pt idx="1">
                  <c:v>Hoffmann, Lukas</c:v>
                </c:pt>
                <c:pt idx="2">
                  <c:v>Voss, Miriam</c:v>
                </c:pt>
                <c:pt idx="3">
                  <c:v>Rieder, Tobias</c:v>
                </c:pt>
                <c:pt idx="4">
                  <c:v>Klein, Sandra</c:v>
                </c:pt>
                <c:pt idx="5">
                  <c:v>Wenzel, Aylin</c:v>
                </c:pt>
                <c:pt idx="6">
                  <c:v>Brandt, Nils</c:v>
                </c:pt>
                <c:pt idx="7">
                  <c:v>Lang, Petra</c:v>
                </c:pt>
                <c:pt idx="8">
                  <c:v>Stein, Marco</c:v>
                </c:pt>
              </c:strCache>
            </c:strRef>
          </c:cat>
          <c:val>
            <c:numRef>
              <c:f>Auswertung!$E$15:$E$23</c:f>
              <c:numCache>
                <c:formatCode>0.0" h"</c:formatCode>
                <c:ptCount val="9"/>
                <c:pt idx="0">
                  <c:v>192</c:v>
                </c:pt>
                <c:pt idx="1">
                  <c:v>191.5</c:v>
                </c:pt>
                <c:pt idx="2">
                  <c:v>168</c:v>
                </c:pt>
                <c:pt idx="3">
                  <c:v>192</c:v>
                </c:pt>
                <c:pt idx="4">
                  <c:v>96</c:v>
                </c:pt>
                <c:pt idx="5">
                  <c:v>160</c:v>
                </c:pt>
                <c:pt idx="6">
                  <c:v>155</c:v>
                </c:pt>
                <c:pt idx="7">
                  <c:v>97.5</c:v>
                </c:pt>
                <c:pt idx="8">
                  <c:v>40</c:v>
                </c:pt>
              </c:numCache>
            </c:numRef>
          </c:val>
        </c:ser>
        <c:gapWidth val="60"/>
        <c:overlap val="0"/>
        <c:axId val="74739708"/>
        <c:axId val="66470727"/>
      </c:barChart>
      <c:catAx>
        <c:axId val="747397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470727"/>
        <c:crosses val="autoZero"/>
        <c:auto val="1"/>
        <c:lblAlgn val="ctr"/>
        <c:lblOffset val="100"/>
        <c:noMultiLvlLbl val="0"/>
      </c:catAx>
      <c:valAx>
        <c:axId val="66470727"/>
        <c:scaling>
          <c:orientation val="minMax"/>
        </c:scaling>
        <c:delete val="0"/>
        <c:axPos val="l"/>
        <c:numFmt formatCode="0&quot; h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73970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Stunden je Dienstart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Auswertung!E29</c:f>
              <c:strCache>
                <c:ptCount val="1"/>
                <c:pt idx="0">
                  <c:v>Stunden</c:v>
                </c:pt>
              </c:strCache>
            </c:strRef>
          </c:tx>
          <c:spPr>
            <a:solidFill>
              <a:srgbClr val="7a2e52"/>
            </a:solidFill>
            <a:ln w="0">
              <a:noFill/>
            </a:ln>
          </c:spPr>
          <c:invertIfNegative val="0"/>
          <c:dPt>
            <c:idx val="0"/>
            <c:invertIfNegative val="0"/>
            <c:spPr>
              <a:solidFill>
                <a:srgbClr val="f6e7c4"/>
              </a:solidFill>
              <a:ln w="0">
                <a:noFill/>
              </a:ln>
            </c:spPr>
          </c:dPt>
          <c:dPt>
            <c:idx val="1"/>
            <c:invertIfNegative val="0"/>
            <c:spPr>
              <a:solidFill>
                <a:srgbClr val="dce3ec"/>
              </a:solidFill>
              <a:ln w="0">
                <a:noFill/>
              </a:ln>
            </c:spPr>
          </c:dPt>
          <c:dPt>
            <c:idx val="2"/>
            <c:invertIfNegative val="0"/>
            <c:spPr>
              <a:solidFill>
                <a:srgbClr val="45566a"/>
              </a:solidFill>
              <a:ln w="0">
                <a:noFill/>
              </a:ln>
            </c:spPr>
          </c:dPt>
          <c:dPt>
            <c:idx val="3"/>
            <c:invertIfNegative val="0"/>
            <c:spPr>
              <a:solidFill>
                <a:srgbClr val="e4deec"/>
              </a:solidFill>
              <a:ln w="0">
                <a:noFill/>
              </a:ln>
            </c:spPr>
          </c:dPt>
          <c:dPt>
            <c:idx val="4"/>
            <c:invertIfNegative val="0"/>
            <c:spPr>
              <a:solidFill>
                <a:srgbClr val="efe7d6"/>
              </a:solidFill>
              <a:ln w="0">
                <a:noFill/>
              </a:ln>
            </c:spPr>
          </c:dPt>
          <c:dPt>
            <c:idx val="5"/>
            <c:invertIfNegative val="0"/>
            <c:spPr>
              <a:solidFill>
                <a:srgbClr val="eceaee"/>
              </a:solidFill>
              <a:ln w="0">
                <a:noFill/>
              </a:ln>
            </c:spPr>
          </c:dPt>
          <c:dPt>
            <c:idx val="6"/>
            <c:invertIfNegative val="0"/>
            <c:spPr>
              <a:solidFill>
                <a:srgbClr val="f3dbe6"/>
              </a:solidFill>
              <a:ln w="0">
                <a:noFill/>
              </a:ln>
            </c:spPr>
          </c:dPt>
          <c:dPt>
            <c:idx val="7"/>
            <c:invertIfNegative val="0"/>
            <c:spPr>
              <a:solidFill>
                <a:srgbClr val="f7e1cc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7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Auswertung!$B$30:$B$37</c:f>
              <c:strCache>
                <c:ptCount val="8"/>
                <c:pt idx="0">
                  <c:v>Frühdienst</c:v>
                </c:pt>
                <c:pt idx="1">
                  <c:v>Spätdienst</c:v>
                </c:pt>
                <c:pt idx="2">
                  <c:v>Nachtdienst</c:v>
                </c:pt>
                <c:pt idx="3">
                  <c:v>Zwischendienst</c:v>
                </c:pt>
                <c:pt idx="4">
                  <c:v>Fortbildung</c:v>
                </c:pt>
                <c:pt idx="5">
                  <c:v>Frei / dienstfrei</c:v>
                </c:pt>
                <c:pt idx="6">
                  <c:v>Urlaub</c:v>
                </c:pt>
                <c:pt idx="7">
                  <c:v>Krank (AU)</c:v>
                </c:pt>
              </c:strCache>
            </c:strRef>
          </c:cat>
          <c:val>
            <c:numRef>
              <c:f>Auswertung!$E$30:$E$37</c:f>
              <c:numCache>
                <c:formatCode>0.0" h"</c:formatCode>
                <c:ptCount val="8"/>
                <c:pt idx="0">
                  <c:v>424</c:v>
                </c:pt>
                <c:pt idx="1">
                  <c:v>440</c:v>
                </c:pt>
                <c:pt idx="2">
                  <c:v>248</c:v>
                </c:pt>
                <c:pt idx="3">
                  <c:v>172.5</c:v>
                </c:pt>
                <c:pt idx="4">
                  <c:v>7.5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60"/>
        <c:overlap val="0"/>
        <c:axId val="76433885"/>
        <c:axId val="9869611"/>
      </c:barChart>
      <c:catAx>
        <c:axId val="764338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69611"/>
        <c:crosses val="autoZero"/>
        <c:auto val="1"/>
        <c:lblAlgn val="ctr"/>
        <c:lblOffset val="100"/>
        <c:noMultiLvlLbl val="0"/>
      </c:catAx>
      <c:valAx>
        <c:axId val="9869611"/>
        <c:scaling>
          <c:orientation val="minMax"/>
        </c:scaling>
        <c:delete val="0"/>
        <c:axPos val="l"/>
        <c:numFmt formatCode="0.0&quot; h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43388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12</xdr:row>
      <xdr:rowOff>0</xdr:rowOff>
    </xdr:from>
    <xdr:to>
      <xdr:col>19</xdr:col>
      <xdr:colOff>103680</xdr:colOff>
      <xdr:row>25</xdr:row>
      <xdr:rowOff>115200</xdr:rowOff>
    </xdr:to>
    <xdr:graphicFrame>
      <xdr:nvGraphicFramePr>
        <xdr:cNvPr id="0" name="Chart 1"/>
        <xdr:cNvGraphicFramePr/>
      </xdr:nvGraphicFramePr>
      <xdr:xfrm>
        <a:off x="7400880" y="23907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28</xdr:row>
      <xdr:rowOff>0</xdr:rowOff>
    </xdr:from>
    <xdr:to>
      <xdr:col>19</xdr:col>
      <xdr:colOff>103680</xdr:colOff>
      <xdr:row>41</xdr:row>
      <xdr:rowOff>115200</xdr:rowOff>
    </xdr:to>
    <xdr:graphicFrame>
      <xdr:nvGraphicFramePr>
        <xdr:cNvPr id="1" name="Chart 2"/>
        <xdr:cNvGraphicFramePr/>
      </xdr:nvGraphicFramePr>
      <xdr:xfrm>
        <a:off x="7400880" y="54388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2E52"/>
    <pageSetUpPr fitToPage="true"/>
  </sheetPr>
  <dimension ref="A1:B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5" ySplit="10" topLeftCell="F11" activePane="bottomRight" state="frozen"/>
      <selection pane="topLeft" activeCell="A1" activeCellId="0" sqref="A1"/>
      <selection pane="topRight" activeCell="F1" activeCellId="0" sqref="F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4" min="4" style="0" width="12"/>
    <col collapsed="false" customWidth="true" hidden="false" outlineLevel="0" max="5" min="5" style="0" width="7.5"/>
    <col collapsed="false" customWidth="true" hidden="false" outlineLevel="0" max="36" min="6" style="0" width="3.3"/>
    <col collapsed="false" customWidth="true" hidden="false" outlineLevel="0" max="38" min="37" style="0" width="7.5"/>
    <col collapsed="false" customWidth="true" hidden="false" outlineLevel="0" max="39" min="39" style="0" width="8"/>
    <col collapsed="false" customWidth="true" hidden="false" outlineLevel="0" max="40" min="40" style="0" width="7"/>
    <col collapsed="false" customWidth="true" hidden="false" outlineLevel="0" max="42" min="41" style="0" width="6.51"/>
    <col collapsed="false" customWidth="true" hidden="false" outlineLevel="0" max="43" min="43" style="0" width="7"/>
    <col collapsed="false" customWidth="true" hidden="true" outlineLevel="0" max="53" min="53" style="0" width="11"/>
    <col collapsed="false" customWidth="true" hidden="true" outlineLevel="0" max="54" min="54" style="0" width="16"/>
  </cols>
  <sheetData>
    <row r="1" customFormat="false" ht="6" hidden="false" customHeight="true" outlineLevel="0" collapsed="false"/>
    <row r="2" customFormat="false" ht="30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18" hidden="false" customHeight="true" outlineLevel="0" collapsed="false">
      <c r="B3" s="3" t="str">
        <f aca="false">" Personaleinsatzplanung  ·  "&amp;$C$5&amp;"  ·  "&amp;$K$6</f>
        <v> Personaleinsatzplanung  ·  Team A  ·  April 2026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BA3" s="4" t="n">
        <f aca="false">Listen!$H$18</f>
        <v>43.4</v>
      </c>
    </row>
    <row r="4" customFormat="false" ht="15" hidden="false" customHeight="false" outlineLevel="0" collapsed="false">
      <c r="B4" s="5" t="s">
        <v>1</v>
      </c>
      <c r="C4" s="6" t="s">
        <v>2</v>
      </c>
      <c r="D4" s="6"/>
      <c r="E4" s="6"/>
      <c r="G4" s="7" t="s">
        <v>3</v>
      </c>
      <c r="H4" s="7"/>
      <c r="I4" s="7"/>
      <c r="J4" s="7"/>
      <c r="K4" s="8" t="n">
        <v>4</v>
      </c>
      <c r="L4" s="8"/>
      <c r="M4" s="8"/>
      <c r="N4" s="8"/>
      <c r="P4" s="9" t="s">
        <v>4</v>
      </c>
      <c r="Q4" s="9"/>
      <c r="R4" s="9"/>
      <c r="S4" s="6" t="s">
        <v>5</v>
      </c>
      <c r="T4" s="6"/>
      <c r="U4" s="6"/>
      <c r="V4" s="6"/>
      <c r="W4" s="6"/>
      <c r="X4" s="6"/>
      <c r="Y4" s="6"/>
      <c r="Z4" s="6"/>
      <c r="BA4" s="10" t="n">
        <f aca="false">Listen!$H$14</f>
        <v>2</v>
      </c>
    </row>
    <row r="5" customFormat="false" ht="15" hidden="false" customHeight="false" outlineLevel="0" collapsed="false">
      <c r="B5" s="5" t="s">
        <v>6</v>
      </c>
      <c r="C5" s="6" t="s">
        <v>7</v>
      </c>
      <c r="D5" s="6"/>
      <c r="E5" s="6"/>
      <c r="G5" s="7" t="s">
        <v>8</v>
      </c>
      <c r="H5" s="7"/>
      <c r="I5" s="7"/>
      <c r="J5" s="7"/>
      <c r="K5" s="8" t="n">
        <v>2026</v>
      </c>
      <c r="L5" s="8"/>
      <c r="M5" s="8"/>
      <c r="N5" s="8"/>
      <c r="P5" s="9" t="s">
        <v>9</v>
      </c>
      <c r="Q5" s="9"/>
      <c r="R5" s="9"/>
      <c r="S5" s="6" t="s">
        <v>10</v>
      </c>
      <c r="T5" s="6"/>
      <c r="U5" s="6"/>
      <c r="V5" s="6"/>
      <c r="W5" s="6"/>
      <c r="X5" s="6"/>
      <c r="Y5" s="6"/>
      <c r="Z5" s="6"/>
      <c r="BA5" s="10" t="n">
        <f aca="false">Listen!$H$15</f>
        <v>2</v>
      </c>
    </row>
    <row r="6" customFormat="false" ht="15" hidden="false" customHeight="false" outlineLevel="0" collapsed="false">
      <c r="B6" s="5" t="s">
        <v>11</v>
      </c>
      <c r="C6" s="6" t="s">
        <v>12</v>
      </c>
      <c r="D6" s="6"/>
      <c r="E6" s="6"/>
      <c r="G6" s="7" t="s">
        <v>13</v>
      </c>
      <c r="H6" s="7"/>
      <c r="I6" s="7"/>
      <c r="J6" s="7"/>
      <c r="K6" s="11" t="str">
        <f aca="false">INDEX({"Januar";"Februar";"März";"April";"Mai";"Juni";"Juli";"August";"September";"Oktober";"November";"Dezember"},Monat)&amp;" "&amp;Jahr</f>
        <v>April 2026</v>
      </c>
      <c r="L6" s="11"/>
      <c r="M6" s="11"/>
      <c r="N6" s="11"/>
      <c r="P6" s="9" t="s">
        <v>14</v>
      </c>
      <c r="Q6" s="9"/>
      <c r="R6" s="9"/>
      <c r="S6" s="12" t="s">
        <v>15</v>
      </c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BA6" s="10" t="n">
        <f aca="false">Listen!$H$16</f>
        <v>1</v>
      </c>
    </row>
    <row r="8" customFormat="false" ht="15" hidden="true" customHeight="false" outlineLevel="0" collapsed="false">
      <c r="F8" s="13" t="n">
        <f aca="false">IF(MONTH(DATE(Jahr,Monat,1))=Monat,DATE(Jahr,Monat,1),"")</f>
        <v>46113</v>
      </c>
      <c r="G8" s="13" t="n">
        <f aca="false">IF(MONTH(DATE(Jahr,Monat,2))=Monat,DATE(Jahr,Monat,2),"")</f>
        <v>46114</v>
      </c>
      <c r="H8" s="13" t="n">
        <f aca="false">IF(MONTH(DATE(Jahr,Monat,3))=Monat,DATE(Jahr,Monat,3),"")</f>
        <v>46115</v>
      </c>
      <c r="I8" s="13" t="n">
        <f aca="false">IF(MONTH(DATE(Jahr,Monat,4))=Monat,DATE(Jahr,Monat,4),"")</f>
        <v>46116</v>
      </c>
      <c r="J8" s="13" t="n">
        <f aca="false">IF(MONTH(DATE(Jahr,Monat,5))=Monat,DATE(Jahr,Monat,5),"")</f>
        <v>46117</v>
      </c>
      <c r="K8" s="13" t="n">
        <f aca="false">IF(MONTH(DATE(Jahr,Monat,6))=Monat,DATE(Jahr,Monat,6),"")</f>
        <v>46118</v>
      </c>
      <c r="L8" s="13" t="n">
        <f aca="false">IF(MONTH(DATE(Jahr,Monat,7))=Monat,DATE(Jahr,Monat,7),"")</f>
        <v>46119</v>
      </c>
      <c r="M8" s="13" t="n">
        <f aca="false">IF(MONTH(DATE(Jahr,Monat,8))=Monat,DATE(Jahr,Monat,8),"")</f>
        <v>46120</v>
      </c>
      <c r="N8" s="13" t="n">
        <f aca="false">IF(MONTH(DATE(Jahr,Monat,9))=Monat,DATE(Jahr,Monat,9),"")</f>
        <v>46121</v>
      </c>
      <c r="O8" s="13" t="n">
        <f aca="false">IF(MONTH(DATE(Jahr,Monat,10))=Monat,DATE(Jahr,Monat,10),"")</f>
        <v>46122</v>
      </c>
      <c r="P8" s="13" t="n">
        <f aca="false">IF(MONTH(DATE(Jahr,Monat,11))=Monat,DATE(Jahr,Monat,11),"")</f>
        <v>46123</v>
      </c>
      <c r="Q8" s="13" t="n">
        <f aca="false">IF(MONTH(DATE(Jahr,Monat,12))=Monat,DATE(Jahr,Monat,12),"")</f>
        <v>46124</v>
      </c>
      <c r="R8" s="13" t="n">
        <f aca="false">IF(MONTH(DATE(Jahr,Monat,13))=Monat,DATE(Jahr,Monat,13),"")</f>
        <v>46125</v>
      </c>
      <c r="S8" s="13" t="n">
        <f aca="false">IF(MONTH(DATE(Jahr,Monat,14))=Monat,DATE(Jahr,Monat,14),"")</f>
        <v>46126</v>
      </c>
      <c r="T8" s="13" t="n">
        <f aca="false">IF(MONTH(DATE(Jahr,Monat,15))=Monat,DATE(Jahr,Monat,15),"")</f>
        <v>46127</v>
      </c>
      <c r="U8" s="13" t="n">
        <f aca="false">IF(MONTH(DATE(Jahr,Monat,16))=Monat,DATE(Jahr,Monat,16),"")</f>
        <v>46128</v>
      </c>
      <c r="V8" s="13" t="n">
        <f aca="false">IF(MONTH(DATE(Jahr,Monat,17))=Monat,DATE(Jahr,Monat,17),"")</f>
        <v>46129</v>
      </c>
      <c r="W8" s="13" t="n">
        <f aca="false">IF(MONTH(DATE(Jahr,Monat,18))=Monat,DATE(Jahr,Monat,18),"")</f>
        <v>46130</v>
      </c>
      <c r="X8" s="13" t="n">
        <f aca="false">IF(MONTH(DATE(Jahr,Monat,19))=Monat,DATE(Jahr,Monat,19),"")</f>
        <v>46131</v>
      </c>
      <c r="Y8" s="13" t="n">
        <f aca="false">IF(MONTH(DATE(Jahr,Monat,20))=Monat,DATE(Jahr,Monat,20),"")</f>
        <v>46132</v>
      </c>
      <c r="Z8" s="13" t="n">
        <f aca="false">IF(MONTH(DATE(Jahr,Monat,21))=Monat,DATE(Jahr,Monat,21),"")</f>
        <v>46133</v>
      </c>
      <c r="AA8" s="13" t="n">
        <f aca="false">IF(MONTH(DATE(Jahr,Monat,22))=Monat,DATE(Jahr,Monat,22),"")</f>
        <v>46134</v>
      </c>
      <c r="AB8" s="13" t="n">
        <f aca="false">IF(MONTH(DATE(Jahr,Monat,23))=Monat,DATE(Jahr,Monat,23),"")</f>
        <v>46135</v>
      </c>
      <c r="AC8" s="13" t="n">
        <f aca="false">IF(MONTH(DATE(Jahr,Monat,24))=Monat,DATE(Jahr,Monat,24),"")</f>
        <v>46136</v>
      </c>
      <c r="AD8" s="13" t="n">
        <f aca="false">IF(MONTH(DATE(Jahr,Monat,25))=Monat,DATE(Jahr,Monat,25),"")</f>
        <v>46137</v>
      </c>
      <c r="AE8" s="13" t="n">
        <f aca="false">IF(MONTH(DATE(Jahr,Monat,26))=Monat,DATE(Jahr,Monat,26),"")</f>
        <v>46138</v>
      </c>
      <c r="AF8" s="13" t="n">
        <f aca="false">IF(MONTH(DATE(Jahr,Monat,27))=Monat,DATE(Jahr,Monat,27),"")</f>
        <v>46139</v>
      </c>
      <c r="AG8" s="13" t="n">
        <f aca="false">IF(MONTH(DATE(Jahr,Monat,28))=Monat,DATE(Jahr,Monat,28),"")</f>
        <v>46140</v>
      </c>
      <c r="AH8" s="13" t="n">
        <f aca="false">IF(MONTH(DATE(Jahr,Monat,29))=Monat,DATE(Jahr,Monat,29),"")</f>
        <v>46141</v>
      </c>
      <c r="AI8" s="13" t="n">
        <f aca="false">IF(MONTH(DATE(Jahr,Monat,30))=Monat,DATE(Jahr,Monat,30),"")</f>
        <v>46142</v>
      </c>
      <c r="AJ8" s="0" t="str">
        <f aca="false">IF(MONTH(DATE(Jahr,Monat,31))=Monat,DATE(Jahr,Monat,31),"")</f>
        <v/>
      </c>
      <c r="BA8" s="14" t="n">
        <v>46023</v>
      </c>
      <c r="BB8" s="15" t="s">
        <v>16</v>
      </c>
    </row>
    <row r="9" customFormat="false" ht="15" hidden="false" customHeight="true" outlineLevel="0" collapsed="false">
      <c r="A9" s="16" t="s">
        <v>17</v>
      </c>
      <c r="B9" s="16" t="s">
        <v>18</v>
      </c>
      <c r="C9" s="16" t="s">
        <v>19</v>
      </c>
      <c r="D9" s="16" t="s">
        <v>20</v>
      </c>
      <c r="E9" s="16" t="s">
        <v>21</v>
      </c>
      <c r="F9" s="17" t="str">
        <f aca="false">IF(F$8="","",INDEX({"Mo";"Di";"Mi";"Do";"Fr";"Sa";"So"},WEEKDAY(F$8,2)))</f>
        <v>Mi</v>
      </c>
      <c r="G9" s="17" t="str">
        <f aca="false">IF(G$8="","",INDEX({"Mo";"Di";"Mi";"Do";"Fr";"Sa";"So"},WEEKDAY(G$8,2)))</f>
        <v>Do</v>
      </c>
      <c r="H9" s="17" t="str">
        <f aca="false">IF(H$8="","",INDEX({"Mo";"Di";"Mi";"Do";"Fr";"Sa";"So"},WEEKDAY(H$8,2)))</f>
        <v>Fr</v>
      </c>
      <c r="I9" s="17" t="str">
        <f aca="false">IF(I$8="","",INDEX({"Mo";"Di";"Mi";"Do";"Fr";"Sa";"So"},WEEKDAY(I$8,2)))</f>
        <v>Sa</v>
      </c>
      <c r="J9" s="17" t="str">
        <f aca="false">IF(J$8="","",INDEX({"Mo";"Di";"Mi";"Do";"Fr";"Sa";"So"},WEEKDAY(J$8,2)))</f>
        <v>So</v>
      </c>
      <c r="K9" s="17" t="str">
        <f aca="false">IF(K$8="","",INDEX({"Mo";"Di";"Mi";"Do";"Fr";"Sa";"So"},WEEKDAY(K$8,2)))</f>
        <v>Mo</v>
      </c>
      <c r="L9" s="17" t="str">
        <f aca="false">IF(L$8="","",INDEX({"Mo";"Di";"Mi";"Do";"Fr";"Sa";"So"},WEEKDAY(L$8,2)))</f>
        <v>Di</v>
      </c>
      <c r="M9" s="17" t="str">
        <f aca="false">IF(M$8="","",INDEX({"Mo";"Di";"Mi";"Do";"Fr";"Sa";"So"},WEEKDAY(M$8,2)))</f>
        <v>Mi</v>
      </c>
      <c r="N9" s="17" t="str">
        <f aca="false">IF(N$8="","",INDEX({"Mo";"Di";"Mi";"Do";"Fr";"Sa";"So"},WEEKDAY(N$8,2)))</f>
        <v>Do</v>
      </c>
      <c r="O9" s="17" t="str">
        <f aca="false">IF(O$8="","",INDEX({"Mo";"Di";"Mi";"Do";"Fr";"Sa";"So"},WEEKDAY(O$8,2)))</f>
        <v>Fr</v>
      </c>
      <c r="P9" s="17" t="str">
        <f aca="false">IF(P$8="","",INDEX({"Mo";"Di";"Mi";"Do";"Fr";"Sa";"So"},WEEKDAY(P$8,2)))</f>
        <v>Sa</v>
      </c>
      <c r="Q9" s="17" t="str">
        <f aca="false">IF(Q$8="","",INDEX({"Mo";"Di";"Mi";"Do";"Fr";"Sa";"So"},WEEKDAY(Q$8,2)))</f>
        <v>So</v>
      </c>
      <c r="R9" s="17" t="str">
        <f aca="false">IF(R$8="","",INDEX({"Mo";"Di";"Mi";"Do";"Fr";"Sa";"So"},WEEKDAY(R$8,2)))</f>
        <v>Mo</v>
      </c>
      <c r="S9" s="17" t="str">
        <f aca="false">IF(S$8="","",INDEX({"Mo";"Di";"Mi";"Do";"Fr";"Sa";"So"},WEEKDAY(S$8,2)))</f>
        <v>Di</v>
      </c>
      <c r="T9" s="17" t="str">
        <f aca="false">IF(T$8="","",INDEX({"Mo";"Di";"Mi";"Do";"Fr";"Sa";"So"},WEEKDAY(T$8,2)))</f>
        <v>Mi</v>
      </c>
      <c r="U9" s="17" t="str">
        <f aca="false">IF(U$8="","",INDEX({"Mo";"Di";"Mi";"Do";"Fr";"Sa";"So"},WEEKDAY(U$8,2)))</f>
        <v>Do</v>
      </c>
      <c r="V9" s="17" t="str">
        <f aca="false">IF(V$8="","",INDEX({"Mo";"Di";"Mi";"Do";"Fr";"Sa";"So"},WEEKDAY(V$8,2)))</f>
        <v>Fr</v>
      </c>
      <c r="W9" s="17" t="str">
        <f aca="false">IF(W$8="","",INDEX({"Mo";"Di";"Mi";"Do";"Fr";"Sa";"So"},WEEKDAY(W$8,2)))</f>
        <v>Sa</v>
      </c>
      <c r="X9" s="17" t="str">
        <f aca="false">IF(X$8="","",INDEX({"Mo";"Di";"Mi";"Do";"Fr";"Sa";"So"},WEEKDAY(X$8,2)))</f>
        <v>So</v>
      </c>
      <c r="Y9" s="17" t="str">
        <f aca="false">IF(Y$8="","",INDEX({"Mo";"Di";"Mi";"Do";"Fr";"Sa";"So"},WEEKDAY(Y$8,2)))</f>
        <v>Mo</v>
      </c>
      <c r="Z9" s="17" t="str">
        <f aca="false">IF(Z$8="","",INDEX({"Mo";"Di";"Mi";"Do";"Fr";"Sa";"So"},WEEKDAY(Z$8,2)))</f>
        <v>Di</v>
      </c>
      <c r="AA9" s="17" t="str">
        <f aca="false">IF(AA$8="","",INDEX({"Mo";"Di";"Mi";"Do";"Fr";"Sa";"So"},WEEKDAY(AA$8,2)))</f>
        <v>Mi</v>
      </c>
      <c r="AB9" s="17" t="str">
        <f aca="false">IF(AB$8="","",INDEX({"Mo";"Di";"Mi";"Do";"Fr";"Sa";"So"},WEEKDAY(AB$8,2)))</f>
        <v>Do</v>
      </c>
      <c r="AC9" s="17" t="str">
        <f aca="false">IF(AC$8="","",INDEX({"Mo";"Di";"Mi";"Do";"Fr";"Sa";"So"},WEEKDAY(AC$8,2)))</f>
        <v>Fr</v>
      </c>
      <c r="AD9" s="17" t="str">
        <f aca="false">IF(AD$8="","",INDEX({"Mo";"Di";"Mi";"Do";"Fr";"Sa";"So"},WEEKDAY(AD$8,2)))</f>
        <v>Sa</v>
      </c>
      <c r="AE9" s="17" t="str">
        <f aca="false">IF(AE$8="","",INDEX({"Mo";"Di";"Mi";"Do";"Fr";"Sa";"So"},WEEKDAY(AE$8,2)))</f>
        <v>So</v>
      </c>
      <c r="AF9" s="17" t="str">
        <f aca="false">IF(AF$8="","",INDEX({"Mo";"Di";"Mi";"Do";"Fr";"Sa";"So"},WEEKDAY(AF$8,2)))</f>
        <v>Mo</v>
      </c>
      <c r="AG9" s="17" t="str">
        <f aca="false">IF(AG$8="","",INDEX({"Mo";"Di";"Mi";"Do";"Fr";"Sa";"So"},WEEKDAY(AG$8,2)))</f>
        <v>Di</v>
      </c>
      <c r="AH9" s="17" t="str">
        <f aca="false">IF(AH$8="","",INDEX({"Mo";"Di";"Mi";"Do";"Fr";"Sa";"So"},WEEKDAY(AH$8,2)))</f>
        <v>Mi</v>
      </c>
      <c r="AI9" s="17" t="str">
        <f aca="false">IF(AI$8="","",INDEX({"Mo";"Di";"Mi";"Do";"Fr";"Sa";"So"},WEEKDAY(AI$8,2)))</f>
        <v>Do</v>
      </c>
      <c r="AJ9" s="17" t="str">
        <f aca="false">IF(AJ$8="","",INDEX({"Mo";"Di";"Mi";"Do";"Fr";"Sa";"So"},WEEKDAY(AJ$8,2)))</f>
        <v/>
      </c>
      <c r="AK9" s="16" t="s">
        <v>22</v>
      </c>
      <c r="AL9" s="16" t="s">
        <v>23</v>
      </c>
      <c r="AM9" s="16" t="s">
        <v>24</v>
      </c>
      <c r="AN9" s="16" t="s">
        <v>25</v>
      </c>
      <c r="AO9" s="16" t="s">
        <v>26</v>
      </c>
      <c r="AP9" s="16" t="s">
        <v>27</v>
      </c>
      <c r="AQ9" s="16" t="s">
        <v>28</v>
      </c>
      <c r="BA9" s="14" t="n">
        <v>46115</v>
      </c>
      <c r="BB9" s="15" t="s">
        <v>29</v>
      </c>
    </row>
    <row r="10" customFormat="false" ht="15" hidden="false" customHeight="true" outlineLevel="0" collapsed="false">
      <c r="A10" s="16"/>
      <c r="B10" s="16"/>
      <c r="C10" s="16"/>
      <c r="D10" s="16"/>
      <c r="E10" s="16"/>
      <c r="F10" s="18" t="n">
        <f aca="false">IF(F$8="","",DAY(F$8))</f>
        <v>1</v>
      </c>
      <c r="G10" s="18" t="n">
        <f aca="false">IF(G$8="","",DAY(G$8))</f>
        <v>2</v>
      </c>
      <c r="H10" s="18" t="n">
        <f aca="false">IF(H$8="","",DAY(H$8))</f>
        <v>3</v>
      </c>
      <c r="I10" s="18" t="n">
        <f aca="false">IF(I$8="","",DAY(I$8))</f>
        <v>4</v>
      </c>
      <c r="J10" s="18" t="n">
        <f aca="false">IF(J$8="","",DAY(J$8))</f>
        <v>5</v>
      </c>
      <c r="K10" s="18" t="n">
        <f aca="false">IF(K$8="","",DAY(K$8))</f>
        <v>6</v>
      </c>
      <c r="L10" s="18" t="n">
        <f aca="false">IF(L$8="","",DAY(L$8))</f>
        <v>7</v>
      </c>
      <c r="M10" s="18" t="n">
        <f aca="false">IF(M$8="","",DAY(M$8))</f>
        <v>8</v>
      </c>
      <c r="N10" s="18" t="n">
        <f aca="false">IF(N$8="","",DAY(N$8))</f>
        <v>9</v>
      </c>
      <c r="O10" s="18" t="n">
        <f aca="false">IF(O$8="","",DAY(O$8))</f>
        <v>10</v>
      </c>
      <c r="P10" s="18" t="n">
        <f aca="false">IF(P$8="","",DAY(P$8))</f>
        <v>11</v>
      </c>
      <c r="Q10" s="18" t="n">
        <f aca="false">IF(Q$8="","",DAY(Q$8))</f>
        <v>12</v>
      </c>
      <c r="R10" s="18" t="n">
        <f aca="false">IF(R$8="","",DAY(R$8))</f>
        <v>13</v>
      </c>
      <c r="S10" s="18" t="n">
        <f aca="false">IF(S$8="","",DAY(S$8))</f>
        <v>14</v>
      </c>
      <c r="T10" s="18" t="n">
        <f aca="false">IF(T$8="","",DAY(T$8))</f>
        <v>15</v>
      </c>
      <c r="U10" s="18" t="n">
        <f aca="false">IF(U$8="","",DAY(U$8))</f>
        <v>16</v>
      </c>
      <c r="V10" s="18" t="n">
        <f aca="false">IF(V$8="","",DAY(V$8))</f>
        <v>17</v>
      </c>
      <c r="W10" s="18" t="n">
        <f aca="false">IF(W$8="","",DAY(W$8))</f>
        <v>18</v>
      </c>
      <c r="X10" s="18" t="n">
        <f aca="false">IF(X$8="","",DAY(X$8))</f>
        <v>19</v>
      </c>
      <c r="Y10" s="18" t="n">
        <f aca="false">IF(Y$8="","",DAY(Y$8))</f>
        <v>20</v>
      </c>
      <c r="Z10" s="18" t="n">
        <f aca="false">IF(Z$8="","",DAY(Z$8))</f>
        <v>21</v>
      </c>
      <c r="AA10" s="18" t="n">
        <f aca="false">IF(AA$8="","",DAY(AA$8))</f>
        <v>22</v>
      </c>
      <c r="AB10" s="18" t="n">
        <f aca="false">IF(AB$8="","",DAY(AB$8))</f>
        <v>23</v>
      </c>
      <c r="AC10" s="18" t="n">
        <f aca="false">IF(AC$8="","",DAY(AC$8))</f>
        <v>24</v>
      </c>
      <c r="AD10" s="18" t="n">
        <f aca="false">IF(AD$8="","",DAY(AD$8))</f>
        <v>25</v>
      </c>
      <c r="AE10" s="18" t="n">
        <f aca="false">IF(AE$8="","",DAY(AE$8))</f>
        <v>26</v>
      </c>
      <c r="AF10" s="18" t="n">
        <f aca="false">IF(AF$8="","",DAY(AF$8))</f>
        <v>27</v>
      </c>
      <c r="AG10" s="18" t="n">
        <f aca="false">IF(AG$8="","",DAY(AG$8))</f>
        <v>28</v>
      </c>
      <c r="AH10" s="18" t="n">
        <f aca="false">IF(AH$8="","",DAY(AH$8))</f>
        <v>29</v>
      </c>
      <c r="AI10" s="18" t="n">
        <f aca="false">IF(AI$8="","",DAY(AI$8))</f>
        <v>30</v>
      </c>
      <c r="AJ10" s="18" t="str">
        <f aca="false">IF(AJ$8="","",DAY(AJ$8))</f>
        <v/>
      </c>
      <c r="AK10" s="16"/>
      <c r="AL10" s="16"/>
      <c r="AM10" s="16"/>
      <c r="AN10" s="16"/>
      <c r="AO10" s="16"/>
      <c r="AP10" s="16"/>
      <c r="AQ10" s="16"/>
      <c r="BA10" s="14" t="n">
        <v>46118</v>
      </c>
      <c r="BB10" s="15" t="s">
        <v>30</v>
      </c>
    </row>
    <row r="11" customFormat="false" ht="15.75" hidden="false" customHeight="true" outlineLevel="0" collapsed="false">
      <c r="A11" s="19" t="n">
        <v>1</v>
      </c>
      <c r="B11" s="20" t="s">
        <v>31</v>
      </c>
      <c r="C11" s="21" t="s">
        <v>32</v>
      </c>
      <c r="D11" s="22" t="s">
        <v>33</v>
      </c>
      <c r="E11" s="23" t="n">
        <v>160</v>
      </c>
      <c r="F11" s="24" t="s">
        <v>34</v>
      </c>
      <c r="G11" s="24" t="s">
        <v>34</v>
      </c>
      <c r="H11" s="24" t="s">
        <v>35</v>
      </c>
      <c r="I11" s="24" t="s">
        <v>34</v>
      </c>
      <c r="J11" s="24" t="s">
        <v>35</v>
      </c>
      <c r="K11" s="24" t="s">
        <v>35</v>
      </c>
      <c r="L11" s="24" t="s">
        <v>34</v>
      </c>
      <c r="M11" s="24" t="s">
        <v>36</v>
      </c>
      <c r="N11" s="24" t="s">
        <v>36</v>
      </c>
      <c r="O11" s="24" t="s">
        <v>36</v>
      </c>
      <c r="P11" s="24" t="s">
        <v>34</v>
      </c>
      <c r="Q11" s="24" t="s">
        <v>35</v>
      </c>
      <c r="R11" s="24" t="s">
        <v>36</v>
      </c>
      <c r="S11" s="24" t="s">
        <v>36</v>
      </c>
      <c r="T11" s="24" t="s">
        <v>37</v>
      </c>
      <c r="U11" s="24" t="s">
        <v>34</v>
      </c>
      <c r="V11" s="24" t="s">
        <v>37</v>
      </c>
      <c r="W11" s="24" t="s">
        <v>34</v>
      </c>
      <c r="X11" s="24" t="s">
        <v>35</v>
      </c>
      <c r="Y11" s="24" t="s">
        <v>37</v>
      </c>
      <c r="Z11" s="24" t="s">
        <v>37</v>
      </c>
      <c r="AA11" s="24" t="s">
        <v>34</v>
      </c>
      <c r="AB11" s="24" t="s">
        <v>34</v>
      </c>
      <c r="AC11" s="24" t="s">
        <v>34</v>
      </c>
      <c r="AD11" s="24" t="s">
        <v>34</v>
      </c>
      <c r="AE11" s="24" t="s">
        <v>35</v>
      </c>
      <c r="AF11" s="24" t="s">
        <v>34</v>
      </c>
      <c r="AG11" s="24" t="s">
        <v>34</v>
      </c>
      <c r="AH11" s="24" t="s">
        <v>36</v>
      </c>
      <c r="AI11" s="24" t="s">
        <v>36</v>
      </c>
      <c r="AJ11" s="24"/>
      <c r="AK11" s="25" t="n">
        <f aca="false">IF($B11="","",ROUND(SUMPRODUCT(COUNTIF(F11:AJ11,Listen!$B$5:$B$12),Listen!$F$5:$F$12),2))</f>
        <v>192</v>
      </c>
      <c r="AL11" s="26" t="n">
        <f aca="false">IF($B11="","",AK11-E11)</f>
        <v>32</v>
      </c>
      <c r="AM11" s="27" t="n">
        <f aca="false">IF(OR($B11="",E11=0),"",AK11/E11)</f>
        <v>1.2</v>
      </c>
      <c r="AN11" s="28" t="n">
        <f aca="false">IF($B11="","",SUMPRODUCT(COUNTIF(F11:AJ11,Listen!$B$5:$B$12),Listen!$H$5:$H$12))</f>
        <v>24</v>
      </c>
      <c r="AO11" s="28" t="n">
        <f aca="false">IF($B11="","",COUNTIF(F11:AJ11,"U"))</f>
        <v>0</v>
      </c>
      <c r="AP11" s="28" t="n">
        <f aca="false">IF($B11="","",COUNTIF(F11:AJ11,"K"))</f>
        <v>0</v>
      </c>
      <c r="AQ11" s="28" t="n">
        <f aca="false">IF($B11="","",SUMPRODUCT((F11:AI11="N")*((G11:AJ11="F")+(G11:AJ11="Z")+(G11:AJ11="S")))+SUMPRODUCT((F11:AI11="S")*(G11:AJ11="F")))</f>
        <v>4</v>
      </c>
      <c r="BA11" s="14" t="n">
        <v>46143</v>
      </c>
      <c r="BB11" s="15" t="s">
        <v>38</v>
      </c>
    </row>
    <row r="12" customFormat="false" ht="15.75" hidden="false" customHeight="true" outlineLevel="0" collapsed="false">
      <c r="A12" s="19" t="n">
        <v>2</v>
      </c>
      <c r="B12" s="29" t="s">
        <v>39</v>
      </c>
      <c r="C12" s="30" t="s">
        <v>40</v>
      </c>
      <c r="D12" s="31" t="s">
        <v>33</v>
      </c>
      <c r="E12" s="32" t="n">
        <v>160</v>
      </c>
      <c r="F12" s="24" t="s">
        <v>36</v>
      </c>
      <c r="G12" s="24" t="s">
        <v>36</v>
      </c>
      <c r="H12" s="24" t="s">
        <v>35</v>
      </c>
      <c r="I12" s="24" t="s">
        <v>36</v>
      </c>
      <c r="J12" s="24" t="s">
        <v>35</v>
      </c>
      <c r="K12" s="24" t="s">
        <v>35</v>
      </c>
      <c r="L12" s="24" t="s">
        <v>36</v>
      </c>
      <c r="M12" s="24" t="s">
        <v>37</v>
      </c>
      <c r="N12" s="24" t="s">
        <v>37</v>
      </c>
      <c r="O12" s="24" t="s">
        <v>37</v>
      </c>
      <c r="P12" s="24" t="s">
        <v>36</v>
      </c>
      <c r="Q12" s="24" t="s">
        <v>35</v>
      </c>
      <c r="R12" s="24" t="s">
        <v>37</v>
      </c>
      <c r="S12" s="24" t="s">
        <v>37</v>
      </c>
      <c r="T12" s="24" t="s">
        <v>34</v>
      </c>
      <c r="U12" s="24" t="s">
        <v>34</v>
      </c>
      <c r="V12" s="24" t="s">
        <v>34</v>
      </c>
      <c r="W12" s="24" t="s">
        <v>36</v>
      </c>
      <c r="X12" s="24" t="s">
        <v>35</v>
      </c>
      <c r="Y12" s="24" t="s">
        <v>34</v>
      </c>
      <c r="Z12" s="24" t="s">
        <v>34</v>
      </c>
      <c r="AA12" s="24" t="s">
        <v>41</v>
      </c>
      <c r="AB12" s="24" t="s">
        <v>36</v>
      </c>
      <c r="AC12" s="24" t="s">
        <v>36</v>
      </c>
      <c r="AD12" s="24" t="s">
        <v>36</v>
      </c>
      <c r="AE12" s="24" t="s">
        <v>35</v>
      </c>
      <c r="AF12" s="24" t="s">
        <v>36</v>
      </c>
      <c r="AG12" s="24" t="s">
        <v>36</v>
      </c>
      <c r="AH12" s="24" t="s">
        <v>37</v>
      </c>
      <c r="AI12" s="24" t="s">
        <v>37</v>
      </c>
      <c r="AJ12" s="24"/>
      <c r="AK12" s="25" t="n">
        <f aca="false">IF($B12="","",ROUND(SUMPRODUCT(COUNTIF(F12:AJ12,Listen!$B$5:$B$12),Listen!$F$5:$F$12),2))</f>
        <v>191.5</v>
      </c>
      <c r="AL12" s="26" t="n">
        <f aca="false">IF($B12="","",AK12-E12)</f>
        <v>31.5</v>
      </c>
      <c r="AM12" s="27" t="n">
        <f aca="false">IF(OR($B12="",E12=0),"",AK12/E12)</f>
        <v>1.196875</v>
      </c>
      <c r="AN12" s="28" t="n">
        <f aca="false">IF($B12="","",SUMPRODUCT(COUNTIF(F12:AJ12,Listen!$B$5:$B$12),Listen!$H$5:$H$12))</f>
        <v>23</v>
      </c>
      <c r="AO12" s="28" t="n">
        <f aca="false">IF($B12="","",COUNTIF(F12:AJ12,"U"))</f>
        <v>0</v>
      </c>
      <c r="AP12" s="28" t="n">
        <f aca="false">IF($B12="","",COUNTIF(F12:AJ12,"K"))</f>
        <v>0</v>
      </c>
      <c r="AQ12" s="28" t="n">
        <f aca="false">IF($B12="","",SUMPRODUCT((F12:AI12="N")*((G12:AJ12="F")+(G12:AJ12="Z")+(G12:AJ12="S")))+SUMPRODUCT((F12:AI12="S")*(G12:AJ12="F")))</f>
        <v>2</v>
      </c>
      <c r="BA12" s="14" t="n">
        <v>46156</v>
      </c>
      <c r="BB12" s="15" t="s">
        <v>42</v>
      </c>
    </row>
    <row r="13" customFormat="false" ht="15.75" hidden="false" customHeight="true" outlineLevel="0" collapsed="false">
      <c r="A13" s="19" t="n">
        <v>3</v>
      </c>
      <c r="B13" s="20" t="s">
        <v>43</v>
      </c>
      <c r="C13" s="21" t="s">
        <v>40</v>
      </c>
      <c r="D13" s="22" t="s">
        <v>33</v>
      </c>
      <c r="E13" s="23" t="n">
        <v>160</v>
      </c>
      <c r="F13" s="24" t="s">
        <v>37</v>
      </c>
      <c r="G13" s="24" t="s">
        <v>37</v>
      </c>
      <c r="H13" s="24" t="s">
        <v>34</v>
      </c>
      <c r="I13" s="24" t="s">
        <v>35</v>
      </c>
      <c r="J13" s="24" t="s">
        <v>34</v>
      </c>
      <c r="K13" s="24" t="s">
        <v>34</v>
      </c>
      <c r="L13" s="24" t="s">
        <v>37</v>
      </c>
      <c r="M13" s="24" t="s">
        <v>34</v>
      </c>
      <c r="N13" s="24" t="s">
        <v>34</v>
      </c>
      <c r="O13" s="24" t="s">
        <v>34</v>
      </c>
      <c r="P13" s="24" t="s">
        <v>35</v>
      </c>
      <c r="Q13" s="24" t="s">
        <v>34</v>
      </c>
      <c r="R13" s="24" t="s">
        <v>44</v>
      </c>
      <c r="S13" s="24" t="s">
        <v>44</v>
      </c>
      <c r="T13" s="24" t="s">
        <v>44</v>
      </c>
      <c r="U13" s="24" t="s">
        <v>44</v>
      </c>
      <c r="V13" s="24" t="s">
        <v>44</v>
      </c>
      <c r="W13" s="24" t="s">
        <v>35</v>
      </c>
      <c r="X13" s="24" t="s">
        <v>34</v>
      </c>
      <c r="Y13" s="24" t="s">
        <v>36</v>
      </c>
      <c r="Z13" s="24" t="s">
        <v>36</v>
      </c>
      <c r="AA13" s="24" t="s">
        <v>37</v>
      </c>
      <c r="AB13" s="24" t="s">
        <v>37</v>
      </c>
      <c r="AC13" s="24" t="s">
        <v>37</v>
      </c>
      <c r="AD13" s="24" t="s">
        <v>35</v>
      </c>
      <c r="AE13" s="24" t="s">
        <v>34</v>
      </c>
      <c r="AF13" s="24" t="s">
        <v>37</v>
      </c>
      <c r="AG13" s="24" t="s">
        <v>37</v>
      </c>
      <c r="AH13" s="24" t="s">
        <v>34</v>
      </c>
      <c r="AI13" s="24" t="s">
        <v>34</v>
      </c>
      <c r="AJ13" s="24"/>
      <c r="AK13" s="25" t="n">
        <f aca="false">IF($B13="","",ROUND(SUMPRODUCT(COUNTIF(F13:AJ13,Listen!$B$5:$B$12),Listen!$F$5:$F$12),2))</f>
        <v>168</v>
      </c>
      <c r="AL13" s="26" t="n">
        <f aca="false">IF($B13="","",AK13-E13)</f>
        <v>8</v>
      </c>
      <c r="AM13" s="27" t="n">
        <f aca="false">IF(OR($B13="",E13=0),"",AK13/E13)</f>
        <v>1.05</v>
      </c>
      <c r="AN13" s="28" t="n">
        <f aca="false">IF($B13="","",SUMPRODUCT(COUNTIF(F13:AJ13,Listen!$B$5:$B$12),Listen!$H$5:$H$12))</f>
        <v>21</v>
      </c>
      <c r="AO13" s="28" t="n">
        <f aca="false">IF($B13="","",COUNTIF(F13:AJ13,"U"))</f>
        <v>5</v>
      </c>
      <c r="AP13" s="28" t="n">
        <f aca="false">IF($B13="","",COUNTIF(F13:AJ13,"K"))</f>
        <v>0</v>
      </c>
      <c r="AQ13" s="28" t="n">
        <f aca="false">IF($B13="","",SUMPRODUCT((F13:AI13="N")*((G13:AJ13="F")+(G13:AJ13="Z")+(G13:AJ13="S")))+SUMPRODUCT((F13:AI13="S")*(G13:AJ13="F")))</f>
        <v>3</v>
      </c>
      <c r="BA13" s="14" t="n">
        <v>46167</v>
      </c>
      <c r="BB13" s="15" t="s">
        <v>45</v>
      </c>
    </row>
    <row r="14" customFormat="false" ht="15.75" hidden="false" customHeight="true" outlineLevel="0" collapsed="false">
      <c r="A14" s="19" t="n">
        <v>4</v>
      </c>
      <c r="B14" s="29" t="s">
        <v>46</v>
      </c>
      <c r="C14" s="30" t="s">
        <v>40</v>
      </c>
      <c r="D14" s="31" t="s">
        <v>33</v>
      </c>
      <c r="E14" s="32" t="n">
        <v>152</v>
      </c>
      <c r="F14" s="24" t="s">
        <v>34</v>
      </c>
      <c r="G14" s="24" t="s">
        <v>34</v>
      </c>
      <c r="H14" s="24" t="s">
        <v>36</v>
      </c>
      <c r="I14" s="24" t="s">
        <v>35</v>
      </c>
      <c r="J14" s="24" t="s">
        <v>36</v>
      </c>
      <c r="K14" s="24" t="s">
        <v>36</v>
      </c>
      <c r="L14" s="24" t="s">
        <v>34</v>
      </c>
      <c r="M14" s="24" t="s">
        <v>47</v>
      </c>
      <c r="N14" s="24" t="s">
        <v>47</v>
      </c>
      <c r="O14" s="24" t="s">
        <v>36</v>
      </c>
      <c r="P14" s="24" t="s">
        <v>35</v>
      </c>
      <c r="Q14" s="24" t="s">
        <v>36</v>
      </c>
      <c r="R14" s="24" t="s">
        <v>36</v>
      </c>
      <c r="S14" s="24" t="s">
        <v>36</v>
      </c>
      <c r="T14" s="24" t="s">
        <v>37</v>
      </c>
      <c r="U14" s="24" t="s">
        <v>37</v>
      </c>
      <c r="V14" s="24" t="s">
        <v>37</v>
      </c>
      <c r="W14" s="24" t="s">
        <v>35</v>
      </c>
      <c r="X14" s="24" t="s">
        <v>36</v>
      </c>
      <c r="Y14" s="24" t="s">
        <v>37</v>
      </c>
      <c r="Z14" s="24" t="s">
        <v>37</v>
      </c>
      <c r="AA14" s="24" t="s">
        <v>34</v>
      </c>
      <c r="AB14" s="24" t="s">
        <v>34</v>
      </c>
      <c r="AC14" s="24" t="s">
        <v>34</v>
      </c>
      <c r="AD14" s="24" t="s">
        <v>35</v>
      </c>
      <c r="AE14" s="24" t="s">
        <v>36</v>
      </c>
      <c r="AF14" s="24" t="s">
        <v>34</v>
      </c>
      <c r="AG14" s="24" t="s">
        <v>34</v>
      </c>
      <c r="AH14" s="24" t="s">
        <v>36</v>
      </c>
      <c r="AI14" s="24" t="s">
        <v>36</v>
      </c>
      <c r="AJ14" s="24"/>
      <c r="AK14" s="25" t="n">
        <f aca="false">IF($B14="","",ROUND(SUMPRODUCT(COUNTIF(F14:AJ14,Listen!$B$5:$B$12),Listen!$F$5:$F$12),2))</f>
        <v>192</v>
      </c>
      <c r="AL14" s="26" t="n">
        <f aca="false">IF($B14="","",AK14-E14)</f>
        <v>40</v>
      </c>
      <c r="AM14" s="27" t="n">
        <f aca="false">IF(OR($B14="",E14=0),"",AK14/E14)</f>
        <v>1.26315789473684</v>
      </c>
      <c r="AN14" s="28" t="n">
        <f aca="false">IF($B14="","",SUMPRODUCT(COUNTIF(F14:AJ14,Listen!$B$5:$B$12),Listen!$H$5:$H$12))</f>
        <v>24</v>
      </c>
      <c r="AO14" s="28" t="n">
        <f aca="false">IF($B14="","",COUNTIF(F14:AJ14,"U"))</f>
        <v>0</v>
      </c>
      <c r="AP14" s="28" t="n">
        <f aca="false">IF($B14="","",COUNTIF(F14:AJ14,"K"))</f>
        <v>2</v>
      </c>
      <c r="AQ14" s="28" t="n">
        <f aca="false">IF($B14="","",SUMPRODUCT((F14:AI14="N")*((G14:AJ14="F")+(G14:AJ14="Z")+(G14:AJ14="S")))+SUMPRODUCT((F14:AI14="S")*(G14:AJ14="F")))</f>
        <v>3</v>
      </c>
      <c r="BA14" s="14" t="n">
        <v>46298</v>
      </c>
      <c r="BB14" s="15" t="s">
        <v>48</v>
      </c>
    </row>
    <row r="15" customFormat="false" ht="15.75" hidden="false" customHeight="true" outlineLevel="0" collapsed="false">
      <c r="A15" s="19" t="n">
        <v>5</v>
      </c>
      <c r="B15" s="20" t="s">
        <v>49</v>
      </c>
      <c r="C15" s="21" t="s">
        <v>40</v>
      </c>
      <c r="D15" s="22" t="s">
        <v>50</v>
      </c>
      <c r="E15" s="23" t="n">
        <v>100</v>
      </c>
      <c r="F15" s="24" t="s">
        <v>36</v>
      </c>
      <c r="G15" s="24" t="s">
        <v>35</v>
      </c>
      <c r="H15" s="24" t="s">
        <v>35</v>
      </c>
      <c r="I15" s="24" t="s">
        <v>35</v>
      </c>
      <c r="J15" s="24" t="s">
        <v>35</v>
      </c>
      <c r="K15" s="24" t="s">
        <v>35</v>
      </c>
      <c r="L15" s="24" t="s">
        <v>36</v>
      </c>
      <c r="M15" s="24" t="s">
        <v>36</v>
      </c>
      <c r="N15" s="24" t="s">
        <v>35</v>
      </c>
      <c r="O15" s="24" t="s">
        <v>35</v>
      </c>
      <c r="P15" s="24" t="s">
        <v>35</v>
      </c>
      <c r="Q15" s="24" t="s">
        <v>35</v>
      </c>
      <c r="R15" s="24" t="s">
        <v>36</v>
      </c>
      <c r="S15" s="24" t="s">
        <v>36</v>
      </c>
      <c r="T15" s="24" t="s">
        <v>36</v>
      </c>
      <c r="U15" s="24" t="s">
        <v>35</v>
      </c>
      <c r="V15" s="24" t="s">
        <v>35</v>
      </c>
      <c r="W15" s="24" t="s">
        <v>35</v>
      </c>
      <c r="X15" s="24" t="s">
        <v>35</v>
      </c>
      <c r="Y15" s="24" t="s">
        <v>36</v>
      </c>
      <c r="Z15" s="24" t="s">
        <v>36</v>
      </c>
      <c r="AA15" s="24" t="s">
        <v>36</v>
      </c>
      <c r="AB15" s="24" t="s">
        <v>35</v>
      </c>
      <c r="AC15" s="24" t="s">
        <v>35</v>
      </c>
      <c r="AD15" s="24" t="s">
        <v>35</v>
      </c>
      <c r="AE15" s="24" t="s">
        <v>35</v>
      </c>
      <c r="AF15" s="24" t="s">
        <v>36</v>
      </c>
      <c r="AG15" s="24" t="s">
        <v>36</v>
      </c>
      <c r="AH15" s="24" t="s">
        <v>36</v>
      </c>
      <c r="AI15" s="24" t="s">
        <v>35</v>
      </c>
      <c r="AJ15" s="24"/>
      <c r="AK15" s="25" t="n">
        <f aca="false">IF($B15="","",ROUND(SUMPRODUCT(COUNTIF(F15:AJ15,Listen!$B$5:$B$12),Listen!$F$5:$F$12),2))</f>
        <v>96</v>
      </c>
      <c r="AL15" s="26" t="n">
        <f aca="false">IF($B15="","",AK15-E15)</f>
        <v>-4</v>
      </c>
      <c r="AM15" s="27" t="n">
        <f aca="false">IF(OR($B15="",E15=0),"",AK15/E15)</f>
        <v>0.96</v>
      </c>
      <c r="AN15" s="28" t="n">
        <f aca="false">IF($B15="","",SUMPRODUCT(COUNTIF(F15:AJ15,Listen!$B$5:$B$12),Listen!$H$5:$H$12))</f>
        <v>12</v>
      </c>
      <c r="AO15" s="28" t="n">
        <f aca="false">IF($B15="","",COUNTIF(F15:AJ15,"U"))</f>
        <v>0</v>
      </c>
      <c r="AP15" s="28" t="n">
        <f aca="false">IF($B15="","",COUNTIF(F15:AJ15,"K"))</f>
        <v>0</v>
      </c>
      <c r="AQ15" s="28" t="n">
        <f aca="false">IF($B15="","",SUMPRODUCT((F15:AI15="N")*((G15:AJ15="F")+(G15:AJ15="Z")+(G15:AJ15="S")))+SUMPRODUCT((F15:AI15="S")*(G15:AJ15="F")))</f>
        <v>0</v>
      </c>
      <c r="BA15" s="14" t="n">
        <v>46381</v>
      </c>
      <c r="BB15" s="15" t="s">
        <v>51</v>
      </c>
    </row>
    <row r="16" customFormat="false" ht="15.75" hidden="false" customHeight="true" outlineLevel="0" collapsed="false">
      <c r="A16" s="19" t="n">
        <v>6</v>
      </c>
      <c r="B16" s="29" t="s">
        <v>52</v>
      </c>
      <c r="C16" s="30" t="s">
        <v>40</v>
      </c>
      <c r="D16" s="31" t="s">
        <v>33</v>
      </c>
      <c r="E16" s="32" t="n">
        <v>160</v>
      </c>
      <c r="F16" s="24" t="s">
        <v>36</v>
      </c>
      <c r="G16" s="24" t="s">
        <v>36</v>
      </c>
      <c r="H16" s="24" t="s">
        <v>35</v>
      </c>
      <c r="I16" s="24" t="s">
        <v>35</v>
      </c>
      <c r="J16" s="24" t="s">
        <v>35</v>
      </c>
      <c r="K16" s="24" t="s">
        <v>35</v>
      </c>
      <c r="L16" s="24" t="s">
        <v>36</v>
      </c>
      <c r="M16" s="24" t="s">
        <v>37</v>
      </c>
      <c r="N16" s="24" t="s">
        <v>37</v>
      </c>
      <c r="O16" s="24" t="s">
        <v>37</v>
      </c>
      <c r="P16" s="24" t="s">
        <v>35</v>
      </c>
      <c r="Q16" s="24" t="s">
        <v>35</v>
      </c>
      <c r="R16" s="24" t="s">
        <v>37</v>
      </c>
      <c r="S16" s="24" t="s">
        <v>37</v>
      </c>
      <c r="T16" s="24" t="s">
        <v>34</v>
      </c>
      <c r="U16" s="24" t="s">
        <v>34</v>
      </c>
      <c r="V16" s="24" t="s">
        <v>34</v>
      </c>
      <c r="W16" s="24" t="s">
        <v>35</v>
      </c>
      <c r="X16" s="24" t="s">
        <v>35</v>
      </c>
      <c r="Y16" s="24" t="s">
        <v>34</v>
      </c>
      <c r="Z16" s="24" t="s">
        <v>34</v>
      </c>
      <c r="AA16" s="24" t="s">
        <v>36</v>
      </c>
      <c r="AB16" s="24" t="s">
        <v>36</v>
      </c>
      <c r="AC16" s="24" t="s">
        <v>36</v>
      </c>
      <c r="AD16" s="24" t="s">
        <v>35</v>
      </c>
      <c r="AE16" s="24" t="s">
        <v>35</v>
      </c>
      <c r="AF16" s="24" t="s">
        <v>36</v>
      </c>
      <c r="AG16" s="24" t="s">
        <v>36</v>
      </c>
      <c r="AH16" s="24" t="s">
        <v>37</v>
      </c>
      <c r="AI16" s="24" t="s">
        <v>37</v>
      </c>
      <c r="AJ16" s="24"/>
      <c r="AK16" s="25" t="n">
        <f aca="false">IF($B16="","",ROUND(SUMPRODUCT(COUNTIF(F16:AJ16,Listen!$B$5:$B$12),Listen!$F$5:$F$12),2))</f>
        <v>160</v>
      </c>
      <c r="AL16" s="26" t="n">
        <f aca="false">IF($B16="","",AK16-E16)</f>
        <v>0</v>
      </c>
      <c r="AM16" s="27" t="n">
        <f aca="false">IF(OR($B16="",E16=0),"",AK16/E16)</f>
        <v>1</v>
      </c>
      <c r="AN16" s="28" t="n">
        <f aca="false">IF($B16="","",SUMPRODUCT(COUNTIF(F16:AJ16,Listen!$B$5:$B$12),Listen!$H$5:$H$12))</f>
        <v>20</v>
      </c>
      <c r="AO16" s="28" t="n">
        <f aca="false">IF($B16="","",COUNTIF(F16:AJ16,"U"))</f>
        <v>0</v>
      </c>
      <c r="AP16" s="28" t="n">
        <f aca="false">IF($B16="","",COUNTIF(F16:AJ16,"K"))</f>
        <v>0</v>
      </c>
      <c r="AQ16" s="28" t="n">
        <f aca="false">IF($B16="","",SUMPRODUCT((F16:AI16="N")*((G16:AJ16="F")+(G16:AJ16="Z")+(G16:AJ16="S")))+SUMPRODUCT((F16:AI16="S")*(G16:AJ16="F")))</f>
        <v>1</v>
      </c>
      <c r="BA16" s="14" t="n">
        <v>46382</v>
      </c>
      <c r="BB16" s="15" t="s">
        <v>53</v>
      </c>
    </row>
    <row r="17" customFormat="false" ht="15.75" hidden="false" customHeight="true" outlineLevel="0" collapsed="false">
      <c r="A17" s="19" t="n">
        <v>7</v>
      </c>
      <c r="B17" s="20" t="s">
        <v>54</v>
      </c>
      <c r="C17" s="21" t="s">
        <v>55</v>
      </c>
      <c r="D17" s="22" t="s">
        <v>33</v>
      </c>
      <c r="E17" s="23" t="n">
        <v>150</v>
      </c>
      <c r="F17" s="24" t="s">
        <v>56</v>
      </c>
      <c r="G17" s="24" t="s">
        <v>34</v>
      </c>
      <c r="H17" s="24" t="s">
        <v>35</v>
      </c>
      <c r="I17" s="24" t="s">
        <v>35</v>
      </c>
      <c r="J17" s="24" t="s">
        <v>35</v>
      </c>
      <c r="K17" s="24" t="s">
        <v>35</v>
      </c>
      <c r="L17" s="24" t="s">
        <v>56</v>
      </c>
      <c r="M17" s="24" t="s">
        <v>34</v>
      </c>
      <c r="N17" s="24" t="s">
        <v>56</v>
      </c>
      <c r="O17" s="24" t="s">
        <v>34</v>
      </c>
      <c r="P17" s="24" t="s">
        <v>35</v>
      </c>
      <c r="Q17" s="24" t="s">
        <v>35</v>
      </c>
      <c r="R17" s="24" t="s">
        <v>56</v>
      </c>
      <c r="S17" s="24" t="s">
        <v>34</v>
      </c>
      <c r="T17" s="24" t="s">
        <v>56</v>
      </c>
      <c r="U17" s="24" t="s">
        <v>34</v>
      </c>
      <c r="V17" s="24" t="s">
        <v>56</v>
      </c>
      <c r="W17" s="24" t="s">
        <v>35</v>
      </c>
      <c r="X17" s="24" t="s">
        <v>35</v>
      </c>
      <c r="Y17" s="24" t="s">
        <v>34</v>
      </c>
      <c r="Z17" s="24" t="s">
        <v>56</v>
      </c>
      <c r="AA17" s="24" t="s">
        <v>34</v>
      </c>
      <c r="AB17" s="24" t="s">
        <v>56</v>
      </c>
      <c r="AC17" s="24" t="s">
        <v>34</v>
      </c>
      <c r="AD17" s="24" t="s">
        <v>35</v>
      </c>
      <c r="AE17" s="24" t="s">
        <v>35</v>
      </c>
      <c r="AF17" s="24" t="s">
        <v>56</v>
      </c>
      <c r="AG17" s="24" t="s">
        <v>34</v>
      </c>
      <c r="AH17" s="24" t="s">
        <v>56</v>
      </c>
      <c r="AI17" s="24" t="s">
        <v>34</v>
      </c>
      <c r="AJ17" s="24"/>
      <c r="AK17" s="25" t="n">
        <f aca="false">IF($B17="","",ROUND(SUMPRODUCT(COUNTIF(F17:AJ17,Listen!$B$5:$B$12),Listen!$F$5:$F$12),2))</f>
        <v>155</v>
      </c>
      <c r="AL17" s="26" t="n">
        <f aca="false">IF($B17="","",AK17-E17)</f>
        <v>5</v>
      </c>
      <c r="AM17" s="27" t="n">
        <f aca="false">IF(OR($B17="",E17=0),"",AK17/E17)</f>
        <v>1.03333333333333</v>
      </c>
      <c r="AN17" s="28" t="n">
        <f aca="false">IF($B17="","",SUMPRODUCT(COUNTIF(F17:AJ17,Listen!$B$5:$B$12),Listen!$H$5:$H$12))</f>
        <v>20</v>
      </c>
      <c r="AO17" s="28" t="n">
        <f aca="false">IF($B17="","",COUNTIF(F17:AJ17,"U"))</f>
        <v>0</v>
      </c>
      <c r="AP17" s="28" t="n">
        <f aca="false">IF($B17="","",COUNTIF(F17:AJ17,"K"))</f>
        <v>0</v>
      </c>
      <c r="AQ17" s="28" t="n">
        <f aca="false">IF($B17="","",SUMPRODUCT((F17:AI17="N")*((G17:AJ17="F")+(G17:AJ17="Z")+(G17:AJ17="S")))+SUMPRODUCT((F17:AI17="S")*(G17:AJ17="F")))</f>
        <v>0</v>
      </c>
    </row>
    <row r="18" customFormat="false" ht="15.75" hidden="false" customHeight="true" outlineLevel="0" collapsed="false">
      <c r="A18" s="19" t="n">
        <v>8</v>
      </c>
      <c r="B18" s="29" t="s">
        <v>57</v>
      </c>
      <c r="C18" s="30" t="s">
        <v>40</v>
      </c>
      <c r="D18" s="31" t="s">
        <v>50</v>
      </c>
      <c r="E18" s="32" t="n">
        <v>120</v>
      </c>
      <c r="F18" s="24" t="s">
        <v>56</v>
      </c>
      <c r="G18" s="24" t="s">
        <v>56</v>
      </c>
      <c r="H18" s="24" t="s">
        <v>35</v>
      </c>
      <c r="I18" s="24" t="s">
        <v>35</v>
      </c>
      <c r="J18" s="24" t="s">
        <v>35</v>
      </c>
      <c r="K18" s="24" t="s">
        <v>35</v>
      </c>
      <c r="L18" s="24" t="s">
        <v>35</v>
      </c>
      <c r="M18" s="24" t="s">
        <v>56</v>
      </c>
      <c r="N18" s="24" t="s">
        <v>56</v>
      </c>
      <c r="O18" s="24" t="s">
        <v>56</v>
      </c>
      <c r="P18" s="24" t="s">
        <v>35</v>
      </c>
      <c r="Q18" s="24" t="s">
        <v>35</v>
      </c>
      <c r="R18" s="24" t="s">
        <v>35</v>
      </c>
      <c r="S18" s="24" t="s">
        <v>35</v>
      </c>
      <c r="T18" s="24" t="s">
        <v>56</v>
      </c>
      <c r="U18" s="24" t="s">
        <v>56</v>
      </c>
      <c r="V18" s="24" t="s">
        <v>56</v>
      </c>
      <c r="W18" s="24" t="s">
        <v>35</v>
      </c>
      <c r="X18" s="24" t="s">
        <v>35</v>
      </c>
      <c r="Y18" s="24" t="s">
        <v>35</v>
      </c>
      <c r="Z18" s="24" t="s">
        <v>35</v>
      </c>
      <c r="AA18" s="24" t="s">
        <v>56</v>
      </c>
      <c r="AB18" s="24" t="s">
        <v>56</v>
      </c>
      <c r="AC18" s="24" t="s">
        <v>56</v>
      </c>
      <c r="AD18" s="24" t="s">
        <v>35</v>
      </c>
      <c r="AE18" s="24" t="s">
        <v>35</v>
      </c>
      <c r="AF18" s="24" t="s">
        <v>35</v>
      </c>
      <c r="AG18" s="24" t="s">
        <v>35</v>
      </c>
      <c r="AH18" s="24" t="s">
        <v>56</v>
      </c>
      <c r="AI18" s="24" t="s">
        <v>56</v>
      </c>
      <c r="AJ18" s="24"/>
      <c r="AK18" s="25" t="n">
        <f aca="false">IF($B18="","",ROUND(SUMPRODUCT(COUNTIF(F18:AJ18,Listen!$B$5:$B$12),Listen!$F$5:$F$12),2))</f>
        <v>97.5</v>
      </c>
      <c r="AL18" s="26" t="n">
        <f aca="false">IF($B18="","",AK18-E18)</f>
        <v>-22.5</v>
      </c>
      <c r="AM18" s="27" t="n">
        <f aca="false">IF(OR($B18="",E18=0),"",AK18/E18)</f>
        <v>0.8125</v>
      </c>
      <c r="AN18" s="28" t="n">
        <f aca="false">IF($B18="","",SUMPRODUCT(COUNTIF(F18:AJ18,Listen!$B$5:$B$12),Listen!$H$5:$H$12))</f>
        <v>13</v>
      </c>
      <c r="AO18" s="28" t="n">
        <f aca="false">IF($B18="","",COUNTIF(F18:AJ18,"U"))</f>
        <v>0</v>
      </c>
      <c r="AP18" s="28" t="n">
        <f aca="false">IF($B18="","",COUNTIF(F18:AJ18,"K"))</f>
        <v>0</v>
      </c>
      <c r="AQ18" s="28" t="n">
        <f aca="false">IF($B18="","",SUMPRODUCT((F18:AI18="N")*((G18:AJ18="F")+(G18:AJ18="Z")+(G18:AJ18="S")))+SUMPRODUCT((F18:AI18="S")*(G18:AJ18="F")))</f>
        <v>0</v>
      </c>
    </row>
    <row r="19" customFormat="false" ht="15.75" hidden="false" customHeight="true" outlineLevel="0" collapsed="false">
      <c r="A19" s="19" t="n">
        <v>9</v>
      </c>
      <c r="B19" s="20" t="s">
        <v>58</v>
      </c>
      <c r="C19" s="21" t="s">
        <v>59</v>
      </c>
      <c r="D19" s="22" t="s">
        <v>60</v>
      </c>
      <c r="E19" s="23" t="n">
        <v>40</v>
      </c>
      <c r="F19" s="24" t="s">
        <v>35</v>
      </c>
      <c r="G19" s="24" t="s">
        <v>35</v>
      </c>
      <c r="H19" s="24" t="s">
        <v>35</v>
      </c>
      <c r="I19" s="24" t="s">
        <v>36</v>
      </c>
      <c r="J19" s="24" t="s">
        <v>35</v>
      </c>
      <c r="K19" s="24" t="s">
        <v>35</v>
      </c>
      <c r="L19" s="24" t="s">
        <v>35</v>
      </c>
      <c r="M19" s="24" t="s">
        <v>35</v>
      </c>
      <c r="N19" s="24" t="s">
        <v>35</v>
      </c>
      <c r="O19" s="24" t="s">
        <v>35</v>
      </c>
      <c r="P19" s="24" t="s">
        <v>36</v>
      </c>
      <c r="Q19" s="24" t="s">
        <v>35</v>
      </c>
      <c r="R19" s="24" t="s">
        <v>35</v>
      </c>
      <c r="S19" s="24" t="s">
        <v>35</v>
      </c>
      <c r="T19" s="24" t="s">
        <v>35</v>
      </c>
      <c r="U19" s="24" t="s">
        <v>35</v>
      </c>
      <c r="V19" s="24" t="s">
        <v>35</v>
      </c>
      <c r="W19" s="24" t="s">
        <v>36</v>
      </c>
      <c r="X19" s="24" t="s">
        <v>35</v>
      </c>
      <c r="Y19" s="24" t="s">
        <v>35</v>
      </c>
      <c r="Z19" s="24" t="s">
        <v>35</v>
      </c>
      <c r="AA19" s="24" t="s">
        <v>35</v>
      </c>
      <c r="AB19" s="24" t="s">
        <v>35</v>
      </c>
      <c r="AC19" s="24" t="s">
        <v>35</v>
      </c>
      <c r="AD19" s="24" t="s">
        <v>36</v>
      </c>
      <c r="AE19" s="24" t="s">
        <v>35</v>
      </c>
      <c r="AF19" s="24" t="s">
        <v>35</v>
      </c>
      <c r="AG19" s="24" t="s">
        <v>35</v>
      </c>
      <c r="AH19" s="24" t="s">
        <v>35</v>
      </c>
      <c r="AI19" s="24" t="s">
        <v>34</v>
      </c>
      <c r="AJ19" s="24"/>
      <c r="AK19" s="25" t="n">
        <f aca="false">IF($B19="","",ROUND(SUMPRODUCT(COUNTIF(F19:AJ19,Listen!$B$5:$B$12),Listen!$F$5:$F$12),2))</f>
        <v>40</v>
      </c>
      <c r="AL19" s="26" t="n">
        <f aca="false">IF($B19="","",AK19-E19)</f>
        <v>0</v>
      </c>
      <c r="AM19" s="27" t="n">
        <f aca="false">IF(OR($B19="",E19=0),"",AK19/E19)</f>
        <v>1</v>
      </c>
      <c r="AN19" s="28" t="n">
        <f aca="false">IF($B19="","",SUMPRODUCT(COUNTIF(F19:AJ19,Listen!$B$5:$B$12),Listen!$H$5:$H$12))</f>
        <v>5</v>
      </c>
      <c r="AO19" s="28" t="n">
        <f aca="false">IF($B19="","",COUNTIF(F19:AJ19,"U"))</f>
        <v>0</v>
      </c>
      <c r="AP19" s="28" t="n">
        <f aca="false">IF($B19="","",COUNTIF(F19:AJ19,"K"))</f>
        <v>0</v>
      </c>
      <c r="AQ19" s="28" t="n">
        <f aca="false">IF($B19="","",SUMPRODUCT((F19:AI19="N")*((G19:AJ19="F")+(G19:AJ19="Z")+(G19:AJ19="S")))+SUMPRODUCT((F19:AI19="S")*(G19:AJ19="F")))</f>
        <v>0</v>
      </c>
    </row>
    <row r="20" customFormat="false" ht="15.75" hidden="false" customHeight="true" outlineLevel="0" collapsed="false">
      <c r="A20" s="19"/>
      <c r="B20" s="29"/>
      <c r="C20" s="30"/>
      <c r="D20" s="31"/>
      <c r="E20" s="32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25" t="str">
        <f aca="false">IF($B20="","",ROUND(SUMPRODUCT(COUNTIF(F20:AJ20,Listen!$B$5:$B$12),Listen!$F$5:$F$12),2))</f>
        <v/>
      </c>
      <c r="AL20" s="26" t="str">
        <f aca="false">IF($B20="","",AK20-E20)</f>
        <v/>
      </c>
      <c r="AM20" s="27" t="str">
        <f aca="false">IF(OR($B20="",E20=0),"",AK20/E20)</f>
        <v/>
      </c>
      <c r="AN20" s="28" t="str">
        <f aca="false">IF($B20="","",SUMPRODUCT(COUNTIF(F20:AJ20,Listen!$B$5:$B$12),Listen!$H$5:$H$12))</f>
        <v/>
      </c>
      <c r="AO20" s="28" t="str">
        <f aca="false">IF($B20="","",COUNTIF(F20:AJ20,"U"))</f>
        <v/>
      </c>
      <c r="AP20" s="28" t="str">
        <f aca="false">IF($B20="","",COUNTIF(F20:AJ20,"K"))</f>
        <v/>
      </c>
      <c r="AQ20" s="28" t="str">
        <f aca="false">IF($B20="","",SUMPRODUCT((F20:AI20="N")*((G20:AJ20="F")+(G20:AJ20="Z")+(G20:AJ20="S")))+SUMPRODUCT((F20:AI20="S")*(G20:AJ20="F")))</f>
        <v/>
      </c>
    </row>
    <row r="21" customFormat="false" ht="15.75" hidden="false" customHeight="true" outlineLevel="0" collapsed="false">
      <c r="A21" s="19"/>
      <c r="B21" s="20"/>
      <c r="C21" s="21"/>
      <c r="D21" s="22"/>
      <c r="E21" s="2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25" t="str">
        <f aca="false">IF($B21="","",ROUND(SUMPRODUCT(COUNTIF(F21:AJ21,Listen!$B$5:$B$12),Listen!$F$5:$F$12),2))</f>
        <v/>
      </c>
      <c r="AL21" s="26" t="str">
        <f aca="false">IF($B21="","",AK21-E21)</f>
        <v/>
      </c>
      <c r="AM21" s="27" t="str">
        <f aca="false">IF(OR($B21="",E21=0),"",AK21/E21)</f>
        <v/>
      </c>
      <c r="AN21" s="28" t="str">
        <f aca="false">IF($B21="","",SUMPRODUCT(COUNTIF(F21:AJ21,Listen!$B$5:$B$12),Listen!$H$5:$H$12))</f>
        <v/>
      </c>
      <c r="AO21" s="28" t="str">
        <f aca="false">IF($B21="","",COUNTIF(F21:AJ21,"U"))</f>
        <v/>
      </c>
      <c r="AP21" s="28" t="str">
        <f aca="false">IF($B21="","",COUNTIF(F21:AJ21,"K"))</f>
        <v/>
      </c>
      <c r="AQ21" s="28" t="str">
        <f aca="false">IF($B21="","",SUMPRODUCT((F21:AI21="N")*((G21:AJ21="F")+(G21:AJ21="Z")+(G21:AJ21="S")))+SUMPRODUCT((F21:AI21="S")*(G21:AJ21="F")))</f>
        <v/>
      </c>
    </row>
    <row r="22" customFormat="false" ht="6" hidden="false" customHeight="true" outlineLevel="0" collapsed="false"/>
    <row r="23" customFormat="false" ht="15" hidden="false" customHeight="false" outlineLevel="0" collapsed="false">
      <c r="A23" s="34"/>
      <c r="B23" s="35" t="s">
        <v>61</v>
      </c>
      <c r="C23" s="35"/>
      <c r="D23" s="35"/>
      <c r="E23" s="35"/>
      <c r="F23" s="36" t="n">
        <f aca="false">COUNTIF(F$11:F$21,"F")</f>
        <v>2</v>
      </c>
      <c r="G23" s="36" t="n">
        <f aca="false">COUNTIF(G$11:G$21,"F")</f>
        <v>3</v>
      </c>
      <c r="H23" s="36" t="n">
        <f aca="false">COUNTIF(H$11:H$21,"F")</f>
        <v>1</v>
      </c>
      <c r="I23" s="36" t="n">
        <f aca="false">COUNTIF(I$11:I$21,"F")</f>
        <v>1</v>
      </c>
      <c r="J23" s="36" t="n">
        <f aca="false">COUNTIF(J$11:J$21,"F")</f>
        <v>1</v>
      </c>
      <c r="K23" s="36" t="n">
        <f aca="false">COUNTIF(K$11:K$21,"F")</f>
        <v>1</v>
      </c>
      <c r="L23" s="36" t="n">
        <f aca="false">COUNTIF(L$11:L$21,"F")</f>
        <v>2</v>
      </c>
      <c r="M23" s="36" t="n">
        <f aca="false">COUNTIF(M$11:M$21,"F")</f>
        <v>2</v>
      </c>
      <c r="N23" s="36" t="n">
        <f aca="false">COUNTIF(N$11:N$21,"F")</f>
        <v>1</v>
      </c>
      <c r="O23" s="36" t="n">
        <f aca="false">COUNTIF(O$11:O$21,"F")</f>
        <v>2</v>
      </c>
      <c r="P23" s="36" t="n">
        <f aca="false">COUNTIF(P$11:P$21,"F")</f>
        <v>1</v>
      </c>
      <c r="Q23" s="36" t="n">
        <f aca="false">COUNTIF(Q$11:Q$21,"F")</f>
        <v>1</v>
      </c>
      <c r="R23" s="36" t="n">
        <f aca="false">COUNTIF(R$11:R$21,"F")</f>
        <v>0</v>
      </c>
      <c r="S23" s="36" t="n">
        <f aca="false">COUNTIF(S$11:S$21,"F")</f>
        <v>1</v>
      </c>
      <c r="T23" s="36" t="n">
        <f aca="false">COUNTIF(T$11:T$21,"F")</f>
        <v>2</v>
      </c>
      <c r="U23" s="36" t="n">
        <f aca="false">COUNTIF(U$11:U$21,"F")</f>
        <v>4</v>
      </c>
      <c r="V23" s="36" t="n">
        <f aca="false">COUNTIF(V$11:V$21,"F")</f>
        <v>2</v>
      </c>
      <c r="W23" s="36" t="n">
        <f aca="false">COUNTIF(W$11:W$21,"F")</f>
        <v>1</v>
      </c>
      <c r="X23" s="36" t="n">
        <f aca="false">COUNTIF(X$11:X$21,"F")</f>
        <v>1</v>
      </c>
      <c r="Y23" s="36" t="n">
        <f aca="false">COUNTIF(Y$11:Y$21,"F")</f>
        <v>3</v>
      </c>
      <c r="Z23" s="36" t="n">
        <f aca="false">COUNTIF(Z$11:Z$21,"F")</f>
        <v>2</v>
      </c>
      <c r="AA23" s="36" t="n">
        <f aca="false">COUNTIF(AA$11:AA$21,"F")</f>
        <v>3</v>
      </c>
      <c r="AB23" s="36" t="n">
        <f aca="false">COUNTIF(AB$11:AB$21,"F")</f>
        <v>2</v>
      </c>
      <c r="AC23" s="36" t="n">
        <f aca="false">COUNTIF(AC$11:AC$21,"F")</f>
        <v>3</v>
      </c>
      <c r="AD23" s="36" t="n">
        <f aca="false">COUNTIF(AD$11:AD$21,"F")</f>
        <v>1</v>
      </c>
      <c r="AE23" s="36" t="n">
        <f aca="false">COUNTIF(AE$11:AE$21,"F")</f>
        <v>1</v>
      </c>
      <c r="AF23" s="36" t="n">
        <f aca="false">COUNTIF(AF$11:AF$21,"F")</f>
        <v>2</v>
      </c>
      <c r="AG23" s="36" t="n">
        <f aca="false">COUNTIF(AG$11:AG$21,"F")</f>
        <v>3</v>
      </c>
      <c r="AH23" s="36" t="n">
        <f aca="false">COUNTIF(AH$11:AH$21,"F")</f>
        <v>1</v>
      </c>
      <c r="AI23" s="36" t="n">
        <f aca="false">COUNTIF(AI$11:AI$21,"F")</f>
        <v>3</v>
      </c>
      <c r="AJ23" s="36" t="n">
        <f aca="false">COUNTIF(AJ$11:AJ$21,"F")</f>
        <v>0</v>
      </c>
      <c r="AK23" s="37" t="n">
        <f aca="false">SUM(F23:AJ23)</f>
        <v>53</v>
      </c>
    </row>
    <row r="24" customFormat="false" ht="15" hidden="false" customHeight="false" outlineLevel="0" collapsed="false">
      <c r="A24" s="34"/>
      <c r="B24" s="35" t="s">
        <v>62</v>
      </c>
      <c r="C24" s="35"/>
      <c r="D24" s="35"/>
      <c r="E24" s="35"/>
      <c r="F24" s="36" t="n">
        <f aca="false">COUNTIF(F$11:F$21,"S")</f>
        <v>3</v>
      </c>
      <c r="G24" s="36" t="n">
        <f aca="false">COUNTIF(G$11:G$21,"S")</f>
        <v>2</v>
      </c>
      <c r="H24" s="36" t="n">
        <f aca="false">COUNTIF(H$11:H$21,"S")</f>
        <v>1</v>
      </c>
      <c r="I24" s="36" t="n">
        <f aca="false">COUNTIF(I$11:I$21,"S")</f>
        <v>2</v>
      </c>
      <c r="J24" s="36" t="n">
        <f aca="false">COUNTIF(J$11:J$21,"S")</f>
        <v>1</v>
      </c>
      <c r="K24" s="36" t="n">
        <f aca="false">COUNTIF(K$11:K$21,"S")</f>
        <v>1</v>
      </c>
      <c r="L24" s="36" t="n">
        <f aca="false">COUNTIF(L$11:L$21,"S")</f>
        <v>3</v>
      </c>
      <c r="M24" s="36" t="n">
        <f aca="false">COUNTIF(M$11:M$21,"S")</f>
        <v>2</v>
      </c>
      <c r="N24" s="36" t="n">
        <f aca="false">COUNTIF(N$11:N$21,"S")</f>
        <v>1</v>
      </c>
      <c r="O24" s="36" t="n">
        <f aca="false">COUNTIF(O$11:O$21,"S")</f>
        <v>2</v>
      </c>
      <c r="P24" s="36" t="n">
        <f aca="false">COUNTIF(P$11:P$21,"S")</f>
        <v>2</v>
      </c>
      <c r="Q24" s="36" t="n">
        <f aca="false">COUNTIF(Q$11:Q$21,"S")</f>
        <v>1</v>
      </c>
      <c r="R24" s="36" t="n">
        <f aca="false">COUNTIF(R$11:R$21,"S")</f>
        <v>3</v>
      </c>
      <c r="S24" s="36" t="n">
        <f aca="false">COUNTIF(S$11:S$21,"S")</f>
        <v>3</v>
      </c>
      <c r="T24" s="36" t="n">
        <f aca="false">COUNTIF(T$11:T$21,"S")</f>
        <v>1</v>
      </c>
      <c r="U24" s="36" t="n">
        <f aca="false">COUNTIF(U$11:U$21,"S")</f>
        <v>0</v>
      </c>
      <c r="V24" s="36" t="n">
        <f aca="false">COUNTIF(V$11:V$21,"S")</f>
        <v>0</v>
      </c>
      <c r="W24" s="36" t="n">
        <f aca="false">COUNTIF(W$11:W$21,"S")</f>
        <v>2</v>
      </c>
      <c r="X24" s="36" t="n">
        <f aca="false">COUNTIF(X$11:X$21,"S")</f>
        <v>1</v>
      </c>
      <c r="Y24" s="36" t="n">
        <f aca="false">COUNTIF(Y$11:Y$21,"S")</f>
        <v>2</v>
      </c>
      <c r="Z24" s="36" t="n">
        <f aca="false">COUNTIF(Z$11:Z$21,"S")</f>
        <v>2</v>
      </c>
      <c r="AA24" s="36" t="n">
        <f aca="false">COUNTIF(AA$11:AA$21,"S")</f>
        <v>2</v>
      </c>
      <c r="AB24" s="36" t="n">
        <f aca="false">COUNTIF(AB$11:AB$21,"S")</f>
        <v>2</v>
      </c>
      <c r="AC24" s="36" t="n">
        <f aca="false">COUNTIF(AC$11:AC$21,"S")</f>
        <v>2</v>
      </c>
      <c r="AD24" s="36" t="n">
        <f aca="false">COUNTIF(AD$11:AD$21,"S")</f>
        <v>2</v>
      </c>
      <c r="AE24" s="36" t="n">
        <f aca="false">COUNTIF(AE$11:AE$21,"S")</f>
        <v>1</v>
      </c>
      <c r="AF24" s="36" t="n">
        <f aca="false">COUNTIF(AF$11:AF$21,"S")</f>
        <v>3</v>
      </c>
      <c r="AG24" s="36" t="n">
        <f aca="false">COUNTIF(AG$11:AG$21,"S")</f>
        <v>3</v>
      </c>
      <c r="AH24" s="36" t="n">
        <f aca="false">COUNTIF(AH$11:AH$21,"S")</f>
        <v>3</v>
      </c>
      <c r="AI24" s="36" t="n">
        <f aca="false">COUNTIF(AI$11:AI$21,"S")</f>
        <v>2</v>
      </c>
      <c r="AJ24" s="36" t="n">
        <f aca="false">COUNTIF(AJ$11:AJ$21,"S")</f>
        <v>0</v>
      </c>
      <c r="AK24" s="37" t="n">
        <f aca="false">SUM(F24:AJ24)</f>
        <v>55</v>
      </c>
    </row>
    <row r="25" customFormat="false" ht="15" hidden="false" customHeight="false" outlineLevel="0" collapsed="false">
      <c r="A25" s="34"/>
      <c r="B25" s="35" t="s">
        <v>63</v>
      </c>
      <c r="C25" s="35"/>
      <c r="D25" s="35"/>
      <c r="E25" s="35"/>
      <c r="F25" s="36" t="n">
        <f aca="false">COUNTIF(F$11:F$21,"N")</f>
        <v>1</v>
      </c>
      <c r="G25" s="36" t="n">
        <f aca="false">COUNTIF(G$11:G$21,"N")</f>
        <v>1</v>
      </c>
      <c r="H25" s="36" t="n">
        <f aca="false">COUNTIF(H$11:H$21,"N")</f>
        <v>0</v>
      </c>
      <c r="I25" s="36" t="n">
        <f aca="false">COUNTIF(I$11:I$21,"N")</f>
        <v>0</v>
      </c>
      <c r="J25" s="36" t="n">
        <f aca="false">COUNTIF(J$11:J$21,"N")</f>
        <v>0</v>
      </c>
      <c r="K25" s="36" t="n">
        <f aca="false">COUNTIF(K$11:K$21,"N")</f>
        <v>0</v>
      </c>
      <c r="L25" s="36" t="n">
        <f aca="false">COUNTIF(L$11:L$21,"N")</f>
        <v>1</v>
      </c>
      <c r="M25" s="36" t="n">
        <f aca="false">COUNTIF(M$11:M$21,"N")</f>
        <v>2</v>
      </c>
      <c r="N25" s="36" t="n">
        <f aca="false">COUNTIF(N$11:N$21,"N")</f>
        <v>2</v>
      </c>
      <c r="O25" s="36" t="n">
        <f aca="false">COUNTIF(O$11:O$21,"N")</f>
        <v>2</v>
      </c>
      <c r="P25" s="36" t="n">
        <f aca="false">COUNTIF(P$11:P$21,"N")</f>
        <v>0</v>
      </c>
      <c r="Q25" s="36" t="n">
        <f aca="false">COUNTIF(Q$11:Q$21,"N")</f>
        <v>0</v>
      </c>
      <c r="R25" s="36" t="n">
        <f aca="false">COUNTIF(R$11:R$21,"N")</f>
        <v>2</v>
      </c>
      <c r="S25" s="36" t="n">
        <f aca="false">COUNTIF(S$11:S$21,"N")</f>
        <v>2</v>
      </c>
      <c r="T25" s="36" t="n">
        <f aca="false">COUNTIF(T$11:T$21,"N")</f>
        <v>2</v>
      </c>
      <c r="U25" s="36" t="n">
        <f aca="false">COUNTIF(U$11:U$21,"N")</f>
        <v>1</v>
      </c>
      <c r="V25" s="36" t="n">
        <f aca="false">COUNTIF(V$11:V$21,"N")</f>
        <v>2</v>
      </c>
      <c r="W25" s="36" t="n">
        <f aca="false">COUNTIF(W$11:W$21,"N")</f>
        <v>0</v>
      </c>
      <c r="X25" s="36" t="n">
        <f aca="false">COUNTIF(X$11:X$21,"N")</f>
        <v>0</v>
      </c>
      <c r="Y25" s="36" t="n">
        <f aca="false">COUNTIF(Y$11:Y$21,"N")</f>
        <v>2</v>
      </c>
      <c r="Z25" s="36" t="n">
        <f aca="false">COUNTIF(Z$11:Z$21,"N")</f>
        <v>2</v>
      </c>
      <c r="AA25" s="36" t="n">
        <f aca="false">COUNTIF(AA$11:AA$21,"N")</f>
        <v>1</v>
      </c>
      <c r="AB25" s="36" t="n">
        <f aca="false">COUNTIF(AB$11:AB$21,"N")</f>
        <v>1</v>
      </c>
      <c r="AC25" s="36" t="n">
        <f aca="false">COUNTIF(AC$11:AC$21,"N")</f>
        <v>1</v>
      </c>
      <c r="AD25" s="36" t="n">
        <f aca="false">COUNTIF(AD$11:AD$21,"N")</f>
        <v>0</v>
      </c>
      <c r="AE25" s="36" t="n">
        <f aca="false">COUNTIF(AE$11:AE$21,"N")</f>
        <v>0</v>
      </c>
      <c r="AF25" s="36" t="n">
        <f aca="false">COUNTIF(AF$11:AF$21,"N")</f>
        <v>1</v>
      </c>
      <c r="AG25" s="36" t="n">
        <f aca="false">COUNTIF(AG$11:AG$21,"N")</f>
        <v>1</v>
      </c>
      <c r="AH25" s="36" t="n">
        <f aca="false">COUNTIF(AH$11:AH$21,"N")</f>
        <v>2</v>
      </c>
      <c r="AI25" s="36" t="n">
        <f aca="false">COUNTIF(AI$11:AI$21,"N")</f>
        <v>2</v>
      </c>
      <c r="AJ25" s="36" t="n">
        <f aca="false">COUNTIF(AJ$11:AJ$21,"N")</f>
        <v>0</v>
      </c>
      <c r="AK25" s="37" t="n">
        <f aca="false">SUM(F25:AJ25)</f>
        <v>31</v>
      </c>
    </row>
    <row r="26" customFormat="false" ht="15" hidden="false" customHeight="false" outlineLevel="0" collapsed="false">
      <c r="A26" s="34"/>
      <c r="B26" s="35" t="s">
        <v>64</v>
      </c>
      <c r="C26" s="35"/>
      <c r="D26" s="35"/>
      <c r="E26" s="35"/>
      <c r="F26" s="38" t="n">
        <f aca="false">SUMPRODUCT(COUNTIF(F$11:F$21,Listen!$B$5:$B$12),Listen!$H$5:$H$12)</f>
        <v>8</v>
      </c>
      <c r="G26" s="38" t="n">
        <f aca="false">SUMPRODUCT(COUNTIF(G$11:G$21,Listen!$B$5:$B$12),Listen!$H$5:$H$12)</f>
        <v>7</v>
      </c>
      <c r="H26" s="38" t="n">
        <f aca="false">SUMPRODUCT(COUNTIF(H$11:H$21,Listen!$B$5:$B$12),Listen!$H$5:$H$12)</f>
        <v>2</v>
      </c>
      <c r="I26" s="38" t="n">
        <f aca="false">SUMPRODUCT(COUNTIF(I$11:I$21,Listen!$B$5:$B$12),Listen!$H$5:$H$12)</f>
        <v>3</v>
      </c>
      <c r="J26" s="38" t="n">
        <f aca="false">SUMPRODUCT(COUNTIF(J$11:J$21,Listen!$B$5:$B$12),Listen!$H$5:$H$12)</f>
        <v>2</v>
      </c>
      <c r="K26" s="38" t="n">
        <f aca="false">SUMPRODUCT(COUNTIF(K$11:K$21,Listen!$B$5:$B$12),Listen!$H$5:$H$12)</f>
        <v>2</v>
      </c>
      <c r="L26" s="38" t="n">
        <f aca="false">SUMPRODUCT(COUNTIF(L$11:L$21,Listen!$B$5:$B$12),Listen!$H$5:$H$12)</f>
        <v>7</v>
      </c>
      <c r="M26" s="38" t="n">
        <f aca="false">SUMPRODUCT(COUNTIF(M$11:M$21,Listen!$B$5:$B$12),Listen!$H$5:$H$12)</f>
        <v>7</v>
      </c>
      <c r="N26" s="38" t="n">
        <f aca="false">SUMPRODUCT(COUNTIF(N$11:N$21,Listen!$B$5:$B$12),Listen!$H$5:$H$12)</f>
        <v>6</v>
      </c>
      <c r="O26" s="38" t="n">
        <f aca="false">SUMPRODUCT(COUNTIF(O$11:O$21,Listen!$B$5:$B$12),Listen!$H$5:$H$12)</f>
        <v>7</v>
      </c>
      <c r="P26" s="38" t="n">
        <f aca="false">SUMPRODUCT(COUNTIF(P$11:P$21,Listen!$B$5:$B$12),Listen!$H$5:$H$12)</f>
        <v>3</v>
      </c>
      <c r="Q26" s="38" t="n">
        <f aca="false">SUMPRODUCT(COUNTIF(Q$11:Q$21,Listen!$B$5:$B$12),Listen!$H$5:$H$12)</f>
        <v>2</v>
      </c>
      <c r="R26" s="38" t="n">
        <f aca="false">SUMPRODUCT(COUNTIF(R$11:R$21,Listen!$B$5:$B$12),Listen!$H$5:$H$12)</f>
        <v>6</v>
      </c>
      <c r="S26" s="38" t="n">
        <f aca="false">SUMPRODUCT(COUNTIF(S$11:S$21,Listen!$B$5:$B$12),Listen!$H$5:$H$12)</f>
        <v>6</v>
      </c>
      <c r="T26" s="38" t="n">
        <f aca="false">SUMPRODUCT(COUNTIF(T$11:T$21,Listen!$B$5:$B$12),Listen!$H$5:$H$12)</f>
        <v>7</v>
      </c>
      <c r="U26" s="38" t="n">
        <f aca="false">SUMPRODUCT(COUNTIF(U$11:U$21,Listen!$B$5:$B$12),Listen!$H$5:$H$12)</f>
        <v>6</v>
      </c>
      <c r="V26" s="38" t="n">
        <f aca="false">SUMPRODUCT(COUNTIF(V$11:V$21,Listen!$B$5:$B$12),Listen!$H$5:$H$12)</f>
        <v>6</v>
      </c>
      <c r="W26" s="38" t="n">
        <f aca="false">SUMPRODUCT(COUNTIF(W$11:W$21,Listen!$B$5:$B$12),Listen!$H$5:$H$12)</f>
        <v>3</v>
      </c>
      <c r="X26" s="38" t="n">
        <f aca="false">SUMPRODUCT(COUNTIF(X$11:X$21,Listen!$B$5:$B$12),Listen!$H$5:$H$12)</f>
        <v>2</v>
      </c>
      <c r="Y26" s="38" t="n">
        <f aca="false">SUMPRODUCT(COUNTIF(Y$11:Y$21,Listen!$B$5:$B$12),Listen!$H$5:$H$12)</f>
        <v>7</v>
      </c>
      <c r="Z26" s="38" t="n">
        <f aca="false">SUMPRODUCT(COUNTIF(Z$11:Z$21,Listen!$B$5:$B$12),Listen!$H$5:$H$12)</f>
        <v>7</v>
      </c>
      <c r="AA26" s="38" t="n">
        <f aca="false">SUMPRODUCT(COUNTIF(AA$11:AA$21,Listen!$B$5:$B$12),Listen!$H$5:$H$12)</f>
        <v>7</v>
      </c>
      <c r="AB26" s="38" t="n">
        <f aca="false">SUMPRODUCT(COUNTIF(AB$11:AB$21,Listen!$B$5:$B$12),Listen!$H$5:$H$12)</f>
        <v>7</v>
      </c>
      <c r="AC26" s="38" t="n">
        <f aca="false">SUMPRODUCT(COUNTIF(AC$11:AC$21,Listen!$B$5:$B$12),Listen!$H$5:$H$12)</f>
        <v>7</v>
      </c>
      <c r="AD26" s="38" t="n">
        <f aca="false">SUMPRODUCT(COUNTIF(AD$11:AD$21,Listen!$B$5:$B$12),Listen!$H$5:$H$12)</f>
        <v>3</v>
      </c>
      <c r="AE26" s="38" t="n">
        <f aca="false">SUMPRODUCT(COUNTIF(AE$11:AE$21,Listen!$B$5:$B$12),Listen!$H$5:$H$12)</f>
        <v>2</v>
      </c>
      <c r="AF26" s="38" t="n">
        <f aca="false">SUMPRODUCT(COUNTIF(AF$11:AF$21,Listen!$B$5:$B$12),Listen!$H$5:$H$12)</f>
        <v>7</v>
      </c>
      <c r="AG26" s="38" t="n">
        <f aca="false">SUMPRODUCT(COUNTIF(AG$11:AG$21,Listen!$B$5:$B$12),Listen!$H$5:$H$12)</f>
        <v>7</v>
      </c>
      <c r="AH26" s="38" t="n">
        <f aca="false">SUMPRODUCT(COUNTIF(AH$11:AH$21,Listen!$B$5:$B$12),Listen!$H$5:$H$12)</f>
        <v>8</v>
      </c>
      <c r="AI26" s="38" t="n">
        <f aca="false">SUMPRODUCT(COUNTIF(AI$11:AI$21,Listen!$B$5:$B$12),Listen!$H$5:$H$12)</f>
        <v>8</v>
      </c>
      <c r="AJ26" s="38" t="n">
        <f aca="false">SUMPRODUCT(COUNTIF(AJ$11:AJ$21,Listen!$B$5:$B$12),Listen!$H$5:$H$12)</f>
        <v>0</v>
      </c>
      <c r="AK26" s="37" t="n">
        <f aca="false">SUM(F26:AJ26)</f>
        <v>162</v>
      </c>
    </row>
    <row r="27" customFormat="false" ht="15" hidden="false" customHeight="false" outlineLevel="0" collapsed="false">
      <c r="A27" s="39"/>
      <c r="B27" s="40" t="s">
        <v>65</v>
      </c>
      <c r="C27" s="40"/>
      <c r="D27" s="40"/>
      <c r="E27" s="40"/>
      <c r="F27" s="41" t="n">
        <f aca="false">SUMPRODUCT(COUNTIF(F$11:F$21,Listen!$B$5:$B$12),Listen!$F$5:$F$12)</f>
        <v>63</v>
      </c>
      <c r="G27" s="41" t="n">
        <f aca="false">SUMPRODUCT(COUNTIF(G$11:G$21,Listen!$B$5:$B$12),Listen!$F$5:$F$12)</f>
        <v>55.5</v>
      </c>
      <c r="H27" s="41" t="n">
        <f aca="false">SUMPRODUCT(COUNTIF(H$11:H$21,Listen!$B$5:$B$12),Listen!$F$5:$F$12)</f>
        <v>16</v>
      </c>
      <c r="I27" s="41" t="n">
        <f aca="false">SUMPRODUCT(COUNTIF(I$11:I$21,Listen!$B$5:$B$12),Listen!$F$5:$F$12)</f>
        <v>24</v>
      </c>
      <c r="J27" s="41" t="n">
        <f aca="false">SUMPRODUCT(COUNTIF(J$11:J$21,Listen!$B$5:$B$12),Listen!$F$5:$F$12)</f>
        <v>16</v>
      </c>
      <c r="K27" s="41" t="n">
        <f aca="false">SUMPRODUCT(COUNTIF(K$11:K$21,Listen!$B$5:$B$12),Listen!$F$5:$F$12)</f>
        <v>16</v>
      </c>
      <c r="L27" s="41" t="n">
        <f aca="false">SUMPRODUCT(COUNTIF(L$11:L$21,Listen!$B$5:$B$12),Listen!$F$5:$F$12)</f>
        <v>55.5</v>
      </c>
      <c r="M27" s="41" t="n">
        <f aca="false">SUMPRODUCT(COUNTIF(M$11:M$21,Listen!$B$5:$B$12),Listen!$F$5:$F$12)</f>
        <v>55.5</v>
      </c>
      <c r="N27" s="41" t="n">
        <f aca="false">SUMPRODUCT(COUNTIF(N$11:N$21,Listen!$B$5:$B$12),Listen!$F$5:$F$12)</f>
        <v>47</v>
      </c>
      <c r="O27" s="41" t="n">
        <f aca="false">SUMPRODUCT(COUNTIF(O$11:O$21,Listen!$B$5:$B$12),Listen!$F$5:$F$12)</f>
        <v>55.5</v>
      </c>
      <c r="P27" s="41" t="n">
        <f aca="false">SUMPRODUCT(COUNTIF(P$11:P$21,Listen!$B$5:$B$12),Listen!$F$5:$F$12)</f>
        <v>24</v>
      </c>
      <c r="Q27" s="41" t="n">
        <f aca="false">SUMPRODUCT(COUNTIF(Q$11:Q$21,Listen!$B$5:$B$12),Listen!$F$5:$F$12)</f>
        <v>16</v>
      </c>
      <c r="R27" s="41" t="n">
        <f aca="false">SUMPRODUCT(COUNTIF(R$11:R$21,Listen!$B$5:$B$12),Listen!$F$5:$F$12)</f>
        <v>47.5</v>
      </c>
      <c r="S27" s="41" t="n">
        <f aca="false">SUMPRODUCT(COUNTIF(S$11:S$21,Listen!$B$5:$B$12),Listen!$F$5:$F$12)</f>
        <v>48</v>
      </c>
      <c r="T27" s="41" t="n">
        <f aca="false">SUMPRODUCT(COUNTIF(T$11:T$21,Listen!$B$5:$B$12),Listen!$F$5:$F$12)</f>
        <v>55</v>
      </c>
      <c r="U27" s="41" t="n">
        <f aca="false">SUMPRODUCT(COUNTIF(U$11:U$21,Listen!$B$5:$B$12),Listen!$F$5:$F$12)</f>
        <v>47.5</v>
      </c>
      <c r="V27" s="41" t="n">
        <f aca="false">SUMPRODUCT(COUNTIF(V$11:V$21,Listen!$B$5:$B$12),Listen!$F$5:$F$12)</f>
        <v>47</v>
      </c>
      <c r="W27" s="41" t="n">
        <f aca="false">SUMPRODUCT(COUNTIF(W$11:W$21,Listen!$B$5:$B$12),Listen!$F$5:$F$12)</f>
        <v>24</v>
      </c>
      <c r="X27" s="41" t="n">
        <f aca="false">SUMPRODUCT(COUNTIF(X$11:X$21,Listen!$B$5:$B$12),Listen!$F$5:$F$12)</f>
        <v>16</v>
      </c>
      <c r="Y27" s="41" t="n">
        <f aca="false">SUMPRODUCT(COUNTIF(Y$11:Y$21,Listen!$B$5:$B$12),Listen!$F$5:$F$12)</f>
        <v>56</v>
      </c>
      <c r="Z27" s="41" t="n">
        <f aca="false">SUMPRODUCT(COUNTIF(Z$11:Z$21,Listen!$B$5:$B$12),Listen!$F$5:$F$12)</f>
        <v>55.5</v>
      </c>
      <c r="AA27" s="41" t="n">
        <f aca="false">SUMPRODUCT(COUNTIF(AA$11:AA$21,Listen!$B$5:$B$12),Listen!$F$5:$F$12)</f>
        <v>63</v>
      </c>
      <c r="AB27" s="41" t="n">
        <f aca="false">SUMPRODUCT(COUNTIF(AB$11:AB$21,Listen!$B$5:$B$12),Listen!$F$5:$F$12)</f>
        <v>55</v>
      </c>
      <c r="AC27" s="41" t="n">
        <f aca="false">SUMPRODUCT(COUNTIF(AC$11:AC$21,Listen!$B$5:$B$12),Listen!$F$5:$F$12)</f>
        <v>55.5</v>
      </c>
      <c r="AD27" s="41" t="n">
        <f aca="false">SUMPRODUCT(COUNTIF(AD$11:AD$21,Listen!$B$5:$B$12),Listen!$F$5:$F$12)</f>
        <v>24</v>
      </c>
      <c r="AE27" s="41" t="n">
        <f aca="false">SUMPRODUCT(COUNTIF(AE$11:AE$21,Listen!$B$5:$B$12),Listen!$F$5:$F$12)</f>
        <v>16</v>
      </c>
      <c r="AF27" s="41" t="n">
        <f aca="false">SUMPRODUCT(COUNTIF(AF$11:AF$21,Listen!$B$5:$B$12),Listen!$F$5:$F$12)</f>
        <v>55.5</v>
      </c>
      <c r="AG27" s="41" t="n">
        <f aca="false">SUMPRODUCT(COUNTIF(AG$11:AG$21,Listen!$B$5:$B$12),Listen!$F$5:$F$12)</f>
        <v>56</v>
      </c>
      <c r="AH27" s="41" t="n">
        <f aca="false">SUMPRODUCT(COUNTIF(AH$11:AH$21,Listen!$B$5:$B$12),Listen!$F$5:$F$12)</f>
        <v>63</v>
      </c>
      <c r="AI27" s="41" t="n">
        <f aca="false">SUMPRODUCT(COUNTIF(AI$11:AI$21,Listen!$B$5:$B$12),Listen!$F$5:$F$12)</f>
        <v>63.5</v>
      </c>
      <c r="AJ27" s="41" t="n">
        <f aca="false">SUMPRODUCT(COUNTIF(AJ$11:AJ$21,Listen!$B$5:$B$12),Listen!$F$5:$F$12)</f>
        <v>0</v>
      </c>
      <c r="AK27" s="42" t="n">
        <f aca="false">SUM(F27:AJ27)</f>
        <v>1292</v>
      </c>
    </row>
    <row r="29" customFormat="false" ht="15" hidden="false" customHeight="false" outlineLevel="0" collapsed="false">
      <c r="B29" s="43" t="s">
        <v>66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</row>
  </sheetData>
  <mergeCells count="35">
    <mergeCell ref="B2:H2"/>
    <mergeCell ref="B3:R3"/>
    <mergeCell ref="C4:E4"/>
    <mergeCell ref="G4:J4"/>
    <mergeCell ref="K4:N4"/>
    <mergeCell ref="P4:R4"/>
    <mergeCell ref="S4:Z4"/>
    <mergeCell ref="C5:E5"/>
    <mergeCell ref="G5:J5"/>
    <mergeCell ref="K5:N5"/>
    <mergeCell ref="P5:R5"/>
    <mergeCell ref="S5:Z5"/>
    <mergeCell ref="C6:E6"/>
    <mergeCell ref="G6:J6"/>
    <mergeCell ref="K6:N6"/>
    <mergeCell ref="P6:R6"/>
    <mergeCell ref="S6:AD6"/>
    <mergeCell ref="A9:A10"/>
    <mergeCell ref="B9:B10"/>
    <mergeCell ref="C9:C10"/>
    <mergeCell ref="D9:D10"/>
    <mergeCell ref="E9:E10"/>
    <mergeCell ref="AK9:AK10"/>
    <mergeCell ref="AL9:AL10"/>
    <mergeCell ref="AM9:AM10"/>
    <mergeCell ref="AN9:AN10"/>
    <mergeCell ref="AO9:AO10"/>
    <mergeCell ref="AP9:AP10"/>
    <mergeCell ref="AQ9:AQ10"/>
    <mergeCell ref="B23:E23"/>
    <mergeCell ref="B24:E24"/>
    <mergeCell ref="B25:E25"/>
    <mergeCell ref="B26:E26"/>
    <mergeCell ref="B27:E27"/>
    <mergeCell ref="B29:AQ29"/>
  </mergeCells>
  <conditionalFormatting sqref="F11:AJ21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"Z"</formula>
    </cfRule>
    <cfRule type="cellIs" priority="6" operator="equal" aboveAverage="0" equalAverage="0" bottom="0" percent="0" rank="0" text="" dxfId="4">
      <formula>"FB"</formula>
    </cfRule>
    <cfRule type="cellIs" priority="7" operator="equal" aboveAverage="0" equalAverage="0" bottom="0" percent="0" rank="0" text="" dxfId="5">
      <formula>"FR"</formula>
    </cfRule>
    <cfRule type="cellIs" priority="8" operator="equal" aboveAverage="0" equalAverage="0" bottom="0" percent="0" rank="0" text="" dxfId="6">
      <formula>"U"</formula>
    </cfRule>
    <cfRule type="cellIs" priority="9" operator="equal" aboveAverage="0" equalAverage="0" bottom="0" percent="0" rank="0" text="" dxfId="7">
      <formula>"K"</formula>
    </cfRule>
  </conditionalFormatting>
  <conditionalFormatting sqref="F11:AJ26">
    <cfRule type="expression" priority="10" aboveAverage="0" equalAverage="0" bottom="0" percent="0" rank="0" text="" dxfId="8">
      <formula>IF(F$8="",0,COUNTIF($BA$8:$BA$16,F$8)&gt;0)</formula>
    </cfRule>
    <cfRule type="expression" priority="11" aboveAverage="0" equalAverage="0" bottom="0" percent="0" rank="0" text="" dxfId="9">
      <formula>IF(F$8="",0,WEEKDAY(F$8,2)&gt;=6)</formula>
    </cfRule>
  </conditionalFormatting>
  <conditionalFormatting sqref="AL11:AL21">
    <cfRule type="cellIs" priority="12" operator="greaterThan" aboveAverage="0" equalAverage="0" bottom="0" percent="0" rank="0" text="" dxfId="10">
      <formula>0.001</formula>
    </cfRule>
    <cfRule type="cellIs" priority="13" operator="lessThan" aboveAverage="0" equalAverage="0" bottom="0" percent="0" rank="0" text="" dxfId="11">
      <formula>-0.001</formula>
    </cfRule>
  </conditionalFormatting>
  <conditionalFormatting sqref="AQ11:AQ21">
    <cfRule type="cellIs" priority="14" operator="greaterThan" aboveAverage="0" equalAverage="0" bottom="0" percent="0" rank="0" text="" dxfId="10">
      <formula>0</formula>
    </cfRule>
  </conditionalFormatting>
  <conditionalFormatting sqref="AK11:AK21">
    <cfRule type="expression" priority="15" aboveAverage="0" equalAverage="0" bottom="0" percent="0" rank="0" text="" dxfId="12">
      <formula>IF($D11="Minijob",AK11&gt;$BA$3,0)</formula>
    </cfRule>
  </conditionalFormatting>
  <conditionalFormatting sqref="AM11:AM21">
    <cfRule type="dataBar" priority="16">
      <dataBar showValue="1" minLength="10" maxLength="90">
        <cfvo type="num" val="0"/>
        <cfvo type="num" val="1.2"/>
        <color rgb="FFB8933F"/>
      </dataBar>
      <extLst>
        <ext xmlns:x14="http://schemas.microsoft.com/office/spreadsheetml/2009/9/main" uri="{B025F937-C7B1-47D3-B67F-A62EFF666E3E}">
          <x14:id>{9E4E54E0-98D8-414E-98B1-4960B29017DF}</x14:id>
        </ext>
      </extLst>
    </cfRule>
  </conditionalFormatting>
  <conditionalFormatting sqref="F23:AJ23">
    <cfRule type="expression" priority="17" aboveAverage="0" equalAverage="0" bottom="0" percent="0" rank="0" text="" dxfId="13">
      <formula>IF(F$8="",0,AND(WEEKDAY(F$8,2)&lt;6,COUNTIF($BA$8:$BA$16,F$8)=0,F23&lt;$BA$4))</formula>
    </cfRule>
  </conditionalFormatting>
  <conditionalFormatting sqref="F24:AJ24">
    <cfRule type="expression" priority="18" aboveAverage="0" equalAverage="0" bottom="0" percent="0" rank="0" text="" dxfId="13">
      <formula>IF(F$8="",0,AND(WEEKDAY(F$8,2)&lt;6,COUNTIF($BA$8:$BA$16,F$8)=0,F24&lt;$BA$5))</formula>
    </cfRule>
  </conditionalFormatting>
  <conditionalFormatting sqref="F25:AJ25">
    <cfRule type="expression" priority="19" aboveAverage="0" equalAverage="0" bottom="0" percent="0" rank="0" text="" dxfId="13">
      <formula>IF(F$8="",0,AND(WEEKDAY(F$8,2)&lt;6,COUNTIF($BA$8:$BA$16,F$8)=0,F25&lt;$BA$6))</formula>
    </cfRule>
  </conditionalFormatting>
  <dataValidations count="6">
    <dataValidation allowBlank="true" errorStyle="stop" operator="between" showDropDown="false" showErrorMessage="false" showInputMessage="false" sqref="F11:AJ21" type="list">
      <formula1>Listen!$B$5:$B$12</formula1>
      <formula2>0</formula2>
    </dataValidation>
    <dataValidation allowBlank="true" errorStyle="stop" operator="between" showDropDown="false" showErrorMessage="false" showInputMessage="false" sqref="D11:D21" type="list">
      <formula1>"Vollzeit,Teilzeit,Minijob"</formula1>
      <formula2>0</formula2>
    </dataValidation>
    <dataValidation allowBlank="true" errorStyle="stop" operator="between" showDropDown="false" showErrorMessage="false" showInputMessage="false" sqref="C11:C21" type="list">
      <formula1>"Teamleitung,Fachkraft,Aushilfe,Auszubildender,Werkstudent"</formula1>
      <formula2>0</formula2>
    </dataValidation>
    <dataValidation allowBlank="true" errorStyle="stop" operator="greaterThanOrEqual" showDropDown="false" showErrorMessage="false" showInputMessage="false" sqref="E11:E21" type="decimal">
      <formula1>0</formula1>
      <formula2>0</formula2>
    </dataValidation>
    <dataValidation allowBlank="false" errorStyle="stop" operator="between" showDropDown="false" showErrorMessage="false" showInputMessage="false" sqref="K4" type="whole">
      <formula1>1</formula1>
      <formula2>12</formula2>
    </dataValidation>
    <dataValidation allowBlank="false" errorStyle="stop" operator="between" showDropDown="false" showErrorMessage="false" showInputMessage="false" sqref="K5" type="whole">
      <formula1>2020</formula1>
      <formula2>2099</formula2>
    </dataValidation>
  </dataValidations>
  <printOptions headings="false" gridLines="false" gridLinesSet="true" horizontalCentered="true" verticalCentered="false"/>
  <pageMargins left="0.2" right="0.2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4E54E0-98D8-414E-98B1-4960B29017DF}">
            <x14:dataBar minLength="10" maxLength="90" axisPosition="none" gradient="true">
              <x14:cfvo type="num">
                <xm:f>0</xm:f>
              </x14:cfvo>
              <x14:cfvo type="num">
                <xm:f>1.2</xm:f>
              </x14:cfvo>
              <x14:negativeFillColor rgb="FFB8933F"/>
              <x14:axisColor rgb="FF000000"/>
            </x14:dataBar>
          </x14:cfRule>
          <xm:sqref>AM11:AM21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5566A"/>
    <pageSetUpPr fitToPage="true"/>
  </sheetPr>
  <dimension ref="B2:M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9" min="4" style="0" width="9"/>
    <col collapsed="false" customWidth="true" hidden="false" outlineLevel="0" max="11" min="10" style="0" width="8"/>
    <col collapsed="false" customWidth="true" hidden="false" outlineLevel="0" max="12" min="12" style="0" width="2"/>
    <col collapsed="false" customWidth="true" hidden="false" outlineLevel="0" max="16" min="13" style="0" width="11"/>
  </cols>
  <sheetData>
    <row r="2" customFormat="false" ht="27.75" hidden="false" customHeight="true" outlineLevel="0" collapsed="false">
      <c r="B2" s="44" t="s">
        <v>67</v>
      </c>
      <c r="C2" s="44"/>
      <c r="D2" s="44"/>
      <c r="E2" s="44"/>
      <c r="F2" s="44"/>
      <c r="G2" s="44"/>
      <c r="H2" s="44"/>
      <c r="I2" s="44"/>
      <c r="J2" s="44"/>
      <c r="K2" s="44"/>
    </row>
    <row r="3" customFormat="false" ht="15" hidden="false" customHeight="false" outlineLevel="0" collapsed="false">
      <c r="B3" s="45" t="str">
        <f aca="false">"Personaleinsatz  ·  "&amp;Dienstplan!$C$5&amp;"  ·  "&amp;Dienstplan!$K$6</f>
        <v>Personaleinsatz  ·  Team A  ·  April 2026</v>
      </c>
      <c r="C3" s="45"/>
      <c r="D3" s="45"/>
      <c r="E3" s="45"/>
      <c r="F3" s="45"/>
      <c r="G3" s="45"/>
      <c r="H3" s="45"/>
      <c r="I3" s="45"/>
      <c r="J3" s="45"/>
      <c r="K3" s="45"/>
    </row>
    <row r="5" customFormat="false" ht="3.75" hidden="false" customHeight="true" outlineLevel="0" collapsed="false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customFormat="false" ht="24" hidden="false" customHeight="true" outlineLevel="0" collapsed="false">
      <c r="B6" s="47" t="n">
        <f aca="false">COUNTA(Dienstplan!B11:B21)</f>
        <v>9</v>
      </c>
      <c r="C6" s="47"/>
      <c r="D6" s="47"/>
      <c r="E6" s="47" t="n">
        <f aca="false">SUM(Dienstplan!AN11:AN21)</f>
        <v>162</v>
      </c>
      <c r="F6" s="47"/>
      <c r="G6" s="47"/>
      <c r="H6" s="48" t="n">
        <f aca="false">ROUND(SUM(Dienstplan!AK11:AK21),1)</f>
        <v>1292</v>
      </c>
      <c r="I6" s="48"/>
      <c r="J6" s="48"/>
      <c r="K6" s="48" t="n">
        <f aca="false">IFERROR(ROUND(SUM(Dienstplan!AK11:AK21)/COUNTA(Dienstplan!B11:B21),1),0)</f>
        <v>143.6</v>
      </c>
      <c r="L6" s="48"/>
      <c r="M6" s="48"/>
    </row>
    <row r="7" customFormat="false" ht="15" hidden="false" customHeight="true" outlineLevel="0" collapsed="false">
      <c r="B7" s="49" t="s">
        <v>68</v>
      </c>
      <c r="C7" s="49"/>
      <c r="D7" s="49"/>
      <c r="E7" s="49" t="s">
        <v>69</v>
      </c>
      <c r="F7" s="49"/>
      <c r="G7" s="49"/>
      <c r="H7" s="49" t="s">
        <v>70</v>
      </c>
      <c r="I7" s="49"/>
      <c r="J7" s="49"/>
      <c r="K7" s="49" t="s">
        <v>71</v>
      </c>
      <c r="L7" s="49"/>
      <c r="M7" s="49"/>
    </row>
    <row r="9" customFormat="false" ht="3.75" hidden="false" customHeight="true" outlineLevel="0" collapsed="false">
      <c r="B9" s="46"/>
      <c r="C9" s="46"/>
      <c r="D9" s="46"/>
      <c r="E9" s="46"/>
      <c r="F9" s="46"/>
      <c r="G9" s="46"/>
      <c r="H9" s="46"/>
      <c r="I9" s="46"/>
      <c r="J9" s="46"/>
      <c r="K9" s="50"/>
      <c r="L9" s="50"/>
      <c r="M9" s="50"/>
    </row>
    <row r="10" customFormat="false" ht="24" hidden="false" customHeight="true" outlineLevel="0" collapsed="false">
      <c r="B10" s="51" t="n">
        <f aca="false">IFERROR(SUM(Dienstplan!AK11:AK21)/SUM(Dienstplan!E11:E21),0)</f>
        <v>1.07487520798669</v>
      </c>
      <c r="C10" s="51"/>
      <c r="D10" s="51"/>
      <c r="E10" s="47" t="n">
        <f aca="false">SUM(Dienstplan!AO11:AO21)</f>
        <v>5</v>
      </c>
      <c r="F10" s="47"/>
      <c r="G10" s="47"/>
      <c r="H10" s="47" t="n">
        <f aca="false">SUM(Dienstplan!AP11:AP21)</f>
        <v>2</v>
      </c>
      <c r="I10" s="47"/>
      <c r="J10" s="47"/>
      <c r="K10" s="47" t="n">
        <f aca="false">SUM(Dienstplan!AQ11:AQ21)</f>
        <v>13</v>
      </c>
      <c r="L10" s="47"/>
      <c r="M10" s="47"/>
    </row>
    <row r="11" customFormat="false" ht="15" hidden="false" customHeight="true" outlineLevel="0" collapsed="false">
      <c r="B11" s="49" t="s">
        <v>72</v>
      </c>
      <c r="C11" s="49"/>
      <c r="D11" s="49"/>
      <c r="E11" s="49" t="s">
        <v>73</v>
      </c>
      <c r="F11" s="49"/>
      <c r="G11" s="49"/>
      <c r="H11" s="49" t="s">
        <v>74</v>
      </c>
      <c r="I11" s="49"/>
      <c r="J11" s="49"/>
      <c r="K11" s="49" t="s">
        <v>75</v>
      </c>
      <c r="L11" s="49"/>
      <c r="M11" s="49"/>
    </row>
    <row r="13" customFormat="false" ht="15" hidden="false" customHeight="false" outlineLevel="0" collapsed="false">
      <c r="B13" s="52" t="s">
        <v>76</v>
      </c>
      <c r="C13" s="52"/>
      <c r="D13" s="52"/>
      <c r="E13" s="52"/>
      <c r="F13" s="52"/>
      <c r="G13" s="52"/>
      <c r="H13" s="52"/>
      <c r="I13" s="52"/>
      <c r="J13" s="52"/>
      <c r="K13" s="52"/>
    </row>
    <row r="14" customFormat="false" ht="15" hidden="false" customHeight="false" outlineLevel="0" collapsed="false">
      <c r="B14" s="35" t="s">
        <v>18</v>
      </c>
      <c r="C14" s="53" t="s">
        <v>20</v>
      </c>
      <c r="D14" s="53" t="s">
        <v>77</v>
      </c>
      <c r="E14" s="53" t="s">
        <v>78</v>
      </c>
      <c r="F14" s="53" t="s">
        <v>79</v>
      </c>
      <c r="G14" s="53" t="s">
        <v>80</v>
      </c>
      <c r="H14" s="53" t="s">
        <v>81</v>
      </c>
      <c r="I14" s="53" t="s">
        <v>82</v>
      </c>
      <c r="J14" s="53" t="s">
        <v>27</v>
      </c>
      <c r="K14" s="53" t="s">
        <v>83</v>
      </c>
    </row>
    <row r="15" customFormat="false" ht="15" hidden="false" customHeight="false" outlineLevel="0" collapsed="false">
      <c r="B15" s="54" t="str">
        <f aca="false">IF(Dienstplan!B11="","",Dienstplan!B11)</f>
        <v>Bergmann, Katrin</v>
      </c>
      <c r="C15" s="55" t="str">
        <f aca="false">IF(Dienstplan!B11="","",Dienstplan!D11)</f>
        <v>Vollzeit</v>
      </c>
      <c r="D15" s="56" t="n">
        <f aca="false">IF(Dienstplan!B11="","",Dienstplan!E11)</f>
        <v>160</v>
      </c>
      <c r="E15" s="57" t="n">
        <f aca="false">IF(Dienstplan!B11="","",Dienstplan!AK11)</f>
        <v>192</v>
      </c>
      <c r="F15" s="58" t="n">
        <f aca="false">IF(Dienstplan!B11="","",Dienstplan!AL11)</f>
        <v>32</v>
      </c>
      <c r="G15" s="59" t="n">
        <f aca="false">IF(Dienstplan!B11="","",Dienstplan!AM11)</f>
        <v>1.2</v>
      </c>
      <c r="H15" s="60" t="n">
        <f aca="false">IF(Dienstplan!B11="","",Dienstplan!AN11)</f>
        <v>24</v>
      </c>
      <c r="I15" s="60" t="n">
        <f aca="false">IF(Dienstplan!B11="","",Dienstplan!AO11)</f>
        <v>0</v>
      </c>
      <c r="J15" s="60" t="n">
        <f aca="false">IF(Dienstplan!B11="","",Dienstplan!AP11)</f>
        <v>0</v>
      </c>
      <c r="K15" s="60" t="n">
        <f aca="false">IF(Dienstplan!B11="","",Dienstplan!AQ11)</f>
        <v>4</v>
      </c>
    </row>
    <row r="16" customFormat="false" ht="15" hidden="false" customHeight="false" outlineLevel="0" collapsed="false">
      <c r="B16" s="61" t="str">
        <f aca="false">IF(Dienstplan!B12="","",Dienstplan!B12)</f>
        <v>Hoffmann, Lukas</v>
      </c>
      <c r="C16" s="62" t="str">
        <f aca="false">IF(Dienstplan!B12="","",Dienstplan!D12)</f>
        <v>Vollzeit</v>
      </c>
      <c r="D16" s="63" t="n">
        <f aca="false">IF(Dienstplan!B12="","",Dienstplan!E12)</f>
        <v>160</v>
      </c>
      <c r="E16" s="64" t="n">
        <f aca="false">IF(Dienstplan!B12="","",Dienstplan!AK12)</f>
        <v>191.5</v>
      </c>
      <c r="F16" s="65" t="n">
        <f aca="false">IF(Dienstplan!B12="","",Dienstplan!AL12)</f>
        <v>31.5</v>
      </c>
      <c r="G16" s="66" t="n">
        <f aca="false">IF(Dienstplan!B12="","",Dienstplan!AM12)</f>
        <v>1.196875</v>
      </c>
      <c r="H16" s="67" t="n">
        <f aca="false">IF(Dienstplan!B12="","",Dienstplan!AN12)</f>
        <v>23</v>
      </c>
      <c r="I16" s="67" t="n">
        <f aca="false">IF(Dienstplan!B12="","",Dienstplan!AO12)</f>
        <v>0</v>
      </c>
      <c r="J16" s="67" t="n">
        <f aca="false">IF(Dienstplan!B12="","",Dienstplan!AP12)</f>
        <v>0</v>
      </c>
      <c r="K16" s="67" t="n">
        <f aca="false">IF(Dienstplan!B12="","",Dienstplan!AQ12)</f>
        <v>2</v>
      </c>
    </row>
    <row r="17" customFormat="false" ht="15" hidden="false" customHeight="false" outlineLevel="0" collapsed="false">
      <c r="B17" s="54" t="str">
        <f aca="false">IF(Dienstplan!B13="","",Dienstplan!B13)</f>
        <v>Voss, Miriam</v>
      </c>
      <c r="C17" s="55" t="str">
        <f aca="false">IF(Dienstplan!B13="","",Dienstplan!D13)</f>
        <v>Vollzeit</v>
      </c>
      <c r="D17" s="56" t="n">
        <f aca="false">IF(Dienstplan!B13="","",Dienstplan!E13)</f>
        <v>160</v>
      </c>
      <c r="E17" s="57" t="n">
        <f aca="false">IF(Dienstplan!B13="","",Dienstplan!AK13)</f>
        <v>168</v>
      </c>
      <c r="F17" s="58" t="n">
        <f aca="false">IF(Dienstplan!B13="","",Dienstplan!AL13)</f>
        <v>8</v>
      </c>
      <c r="G17" s="59" t="n">
        <f aca="false">IF(Dienstplan!B13="","",Dienstplan!AM13)</f>
        <v>1.05</v>
      </c>
      <c r="H17" s="60" t="n">
        <f aca="false">IF(Dienstplan!B13="","",Dienstplan!AN13)</f>
        <v>21</v>
      </c>
      <c r="I17" s="60" t="n">
        <f aca="false">IF(Dienstplan!B13="","",Dienstplan!AO13)</f>
        <v>5</v>
      </c>
      <c r="J17" s="60" t="n">
        <f aca="false">IF(Dienstplan!B13="","",Dienstplan!AP13)</f>
        <v>0</v>
      </c>
      <c r="K17" s="60" t="n">
        <f aca="false">IF(Dienstplan!B13="","",Dienstplan!AQ13)</f>
        <v>3</v>
      </c>
    </row>
    <row r="18" customFormat="false" ht="15" hidden="false" customHeight="false" outlineLevel="0" collapsed="false">
      <c r="B18" s="61" t="str">
        <f aca="false">IF(Dienstplan!B14="","",Dienstplan!B14)</f>
        <v>Rieder, Tobias</v>
      </c>
      <c r="C18" s="62" t="str">
        <f aca="false">IF(Dienstplan!B14="","",Dienstplan!D14)</f>
        <v>Vollzeit</v>
      </c>
      <c r="D18" s="63" t="n">
        <f aca="false">IF(Dienstplan!B14="","",Dienstplan!E14)</f>
        <v>152</v>
      </c>
      <c r="E18" s="64" t="n">
        <f aca="false">IF(Dienstplan!B14="","",Dienstplan!AK14)</f>
        <v>192</v>
      </c>
      <c r="F18" s="65" t="n">
        <f aca="false">IF(Dienstplan!B14="","",Dienstplan!AL14)</f>
        <v>40</v>
      </c>
      <c r="G18" s="66" t="n">
        <f aca="false">IF(Dienstplan!B14="","",Dienstplan!AM14)</f>
        <v>1.26315789473684</v>
      </c>
      <c r="H18" s="67" t="n">
        <f aca="false">IF(Dienstplan!B14="","",Dienstplan!AN14)</f>
        <v>24</v>
      </c>
      <c r="I18" s="67" t="n">
        <f aca="false">IF(Dienstplan!B14="","",Dienstplan!AO14)</f>
        <v>0</v>
      </c>
      <c r="J18" s="67" t="n">
        <f aca="false">IF(Dienstplan!B14="","",Dienstplan!AP14)</f>
        <v>2</v>
      </c>
      <c r="K18" s="67" t="n">
        <f aca="false">IF(Dienstplan!B14="","",Dienstplan!AQ14)</f>
        <v>3</v>
      </c>
    </row>
    <row r="19" customFormat="false" ht="15" hidden="false" customHeight="false" outlineLevel="0" collapsed="false">
      <c r="B19" s="54" t="str">
        <f aca="false">IF(Dienstplan!B15="","",Dienstplan!B15)</f>
        <v>Klein, Sandra</v>
      </c>
      <c r="C19" s="55" t="str">
        <f aca="false">IF(Dienstplan!B15="","",Dienstplan!D15)</f>
        <v>Teilzeit</v>
      </c>
      <c r="D19" s="56" t="n">
        <f aca="false">IF(Dienstplan!B15="","",Dienstplan!E15)</f>
        <v>100</v>
      </c>
      <c r="E19" s="57" t="n">
        <f aca="false">IF(Dienstplan!B15="","",Dienstplan!AK15)</f>
        <v>96</v>
      </c>
      <c r="F19" s="58" t="n">
        <f aca="false">IF(Dienstplan!B15="","",Dienstplan!AL15)</f>
        <v>-4</v>
      </c>
      <c r="G19" s="59" t="n">
        <f aca="false">IF(Dienstplan!B15="","",Dienstplan!AM15)</f>
        <v>0.96</v>
      </c>
      <c r="H19" s="60" t="n">
        <f aca="false">IF(Dienstplan!B15="","",Dienstplan!AN15)</f>
        <v>12</v>
      </c>
      <c r="I19" s="60" t="n">
        <f aca="false">IF(Dienstplan!B15="","",Dienstplan!AO15)</f>
        <v>0</v>
      </c>
      <c r="J19" s="60" t="n">
        <f aca="false">IF(Dienstplan!B15="","",Dienstplan!AP15)</f>
        <v>0</v>
      </c>
      <c r="K19" s="60" t="n">
        <f aca="false">IF(Dienstplan!B15="","",Dienstplan!AQ15)</f>
        <v>0</v>
      </c>
    </row>
    <row r="20" customFormat="false" ht="15" hidden="false" customHeight="false" outlineLevel="0" collapsed="false">
      <c r="B20" s="61" t="str">
        <f aca="false">IF(Dienstplan!B16="","",Dienstplan!B16)</f>
        <v>Wenzel, Aylin</v>
      </c>
      <c r="C20" s="62" t="str">
        <f aca="false">IF(Dienstplan!B16="","",Dienstplan!D16)</f>
        <v>Vollzeit</v>
      </c>
      <c r="D20" s="63" t="n">
        <f aca="false">IF(Dienstplan!B16="","",Dienstplan!E16)</f>
        <v>160</v>
      </c>
      <c r="E20" s="64" t="n">
        <f aca="false">IF(Dienstplan!B16="","",Dienstplan!AK16)</f>
        <v>160</v>
      </c>
      <c r="F20" s="65" t="n">
        <f aca="false">IF(Dienstplan!B16="","",Dienstplan!AL16)</f>
        <v>0</v>
      </c>
      <c r="G20" s="66" t="n">
        <f aca="false">IF(Dienstplan!B16="","",Dienstplan!AM16)</f>
        <v>1</v>
      </c>
      <c r="H20" s="67" t="n">
        <f aca="false">IF(Dienstplan!B16="","",Dienstplan!AN16)</f>
        <v>20</v>
      </c>
      <c r="I20" s="67" t="n">
        <f aca="false">IF(Dienstplan!B16="","",Dienstplan!AO16)</f>
        <v>0</v>
      </c>
      <c r="J20" s="67" t="n">
        <f aca="false">IF(Dienstplan!B16="","",Dienstplan!AP16)</f>
        <v>0</v>
      </c>
      <c r="K20" s="67" t="n">
        <f aca="false">IF(Dienstplan!B16="","",Dienstplan!AQ16)</f>
        <v>1</v>
      </c>
    </row>
    <row r="21" customFormat="false" ht="15" hidden="false" customHeight="false" outlineLevel="0" collapsed="false">
      <c r="B21" s="54" t="str">
        <f aca="false">IF(Dienstplan!B17="","",Dienstplan!B17)</f>
        <v>Brandt, Nils</v>
      </c>
      <c r="C21" s="55" t="str">
        <f aca="false">IF(Dienstplan!B17="","",Dienstplan!D17)</f>
        <v>Vollzeit</v>
      </c>
      <c r="D21" s="56" t="n">
        <f aca="false">IF(Dienstplan!B17="","",Dienstplan!E17)</f>
        <v>150</v>
      </c>
      <c r="E21" s="57" t="n">
        <f aca="false">IF(Dienstplan!B17="","",Dienstplan!AK17)</f>
        <v>155</v>
      </c>
      <c r="F21" s="58" t="n">
        <f aca="false">IF(Dienstplan!B17="","",Dienstplan!AL17)</f>
        <v>5</v>
      </c>
      <c r="G21" s="59" t="n">
        <f aca="false">IF(Dienstplan!B17="","",Dienstplan!AM17)</f>
        <v>1.03333333333333</v>
      </c>
      <c r="H21" s="60" t="n">
        <f aca="false">IF(Dienstplan!B17="","",Dienstplan!AN17)</f>
        <v>20</v>
      </c>
      <c r="I21" s="60" t="n">
        <f aca="false">IF(Dienstplan!B17="","",Dienstplan!AO17)</f>
        <v>0</v>
      </c>
      <c r="J21" s="60" t="n">
        <f aca="false">IF(Dienstplan!B17="","",Dienstplan!AP17)</f>
        <v>0</v>
      </c>
      <c r="K21" s="60" t="n">
        <f aca="false">IF(Dienstplan!B17="","",Dienstplan!AQ17)</f>
        <v>0</v>
      </c>
    </row>
    <row r="22" customFormat="false" ht="15" hidden="false" customHeight="false" outlineLevel="0" collapsed="false">
      <c r="B22" s="61" t="str">
        <f aca="false">IF(Dienstplan!B18="","",Dienstplan!B18)</f>
        <v>Lang, Petra</v>
      </c>
      <c r="C22" s="62" t="str">
        <f aca="false">IF(Dienstplan!B18="","",Dienstplan!D18)</f>
        <v>Teilzeit</v>
      </c>
      <c r="D22" s="63" t="n">
        <f aca="false">IF(Dienstplan!B18="","",Dienstplan!E18)</f>
        <v>120</v>
      </c>
      <c r="E22" s="64" t="n">
        <f aca="false">IF(Dienstplan!B18="","",Dienstplan!AK18)</f>
        <v>97.5</v>
      </c>
      <c r="F22" s="65" t="n">
        <f aca="false">IF(Dienstplan!B18="","",Dienstplan!AL18)</f>
        <v>-22.5</v>
      </c>
      <c r="G22" s="66" t="n">
        <f aca="false">IF(Dienstplan!B18="","",Dienstplan!AM18)</f>
        <v>0.8125</v>
      </c>
      <c r="H22" s="67" t="n">
        <f aca="false">IF(Dienstplan!B18="","",Dienstplan!AN18)</f>
        <v>13</v>
      </c>
      <c r="I22" s="67" t="n">
        <f aca="false">IF(Dienstplan!B18="","",Dienstplan!AO18)</f>
        <v>0</v>
      </c>
      <c r="J22" s="67" t="n">
        <f aca="false">IF(Dienstplan!B18="","",Dienstplan!AP18)</f>
        <v>0</v>
      </c>
      <c r="K22" s="67" t="n">
        <f aca="false">IF(Dienstplan!B18="","",Dienstplan!AQ18)</f>
        <v>0</v>
      </c>
    </row>
    <row r="23" customFormat="false" ht="15" hidden="false" customHeight="false" outlineLevel="0" collapsed="false">
      <c r="B23" s="54" t="str">
        <f aca="false">IF(Dienstplan!B19="","",Dienstplan!B19)</f>
        <v>Stein, Marco</v>
      </c>
      <c r="C23" s="55" t="str">
        <f aca="false">IF(Dienstplan!B19="","",Dienstplan!D19)</f>
        <v>Minijob</v>
      </c>
      <c r="D23" s="56" t="n">
        <f aca="false">IF(Dienstplan!B19="","",Dienstplan!E19)</f>
        <v>40</v>
      </c>
      <c r="E23" s="57" t="n">
        <f aca="false">IF(Dienstplan!B19="","",Dienstplan!AK19)</f>
        <v>40</v>
      </c>
      <c r="F23" s="58" t="n">
        <f aca="false">IF(Dienstplan!B19="","",Dienstplan!AL19)</f>
        <v>0</v>
      </c>
      <c r="G23" s="59" t="n">
        <f aca="false">IF(Dienstplan!B19="","",Dienstplan!AM19)</f>
        <v>1</v>
      </c>
      <c r="H23" s="60" t="n">
        <f aca="false">IF(Dienstplan!B19="","",Dienstplan!AN19)</f>
        <v>5</v>
      </c>
      <c r="I23" s="60" t="n">
        <f aca="false">IF(Dienstplan!B19="","",Dienstplan!AO19)</f>
        <v>0</v>
      </c>
      <c r="J23" s="60" t="n">
        <f aca="false">IF(Dienstplan!B19="","",Dienstplan!AP19)</f>
        <v>0</v>
      </c>
      <c r="K23" s="60" t="n">
        <f aca="false">IF(Dienstplan!B19="","",Dienstplan!AQ19)</f>
        <v>0</v>
      </c>
    </row>
    <row r="24" customFormat="false" ht="15" hidden="false" customHeight="false" outlineLevel="0" collapsed="false">
      <c r="B24" s="68" t="s">
        <v>84</v>
      </c>
      <c r="C24" s="68"/>
      <c r="D24" s="42" t="n">
        <f aca="false">SUM(D15:D23)</f>
        <v>1202</v>
      </c>
      <c r="E24" s="69" t="n">
        <f aca="false">SUM(E15:E23)</f>
        <v>1292</v>
      </c>
      <c r="F24" s="70" t="n">
        <f aca="false">SUM(F15:F23)</f>
        <v>90</v>
      </c>
      <c r="G24" s="71" t="n">
        <f aca="false">IFERROR(SUM(E15:E23)/SUM(D15:D23),0)</f>
        <v>1.07487520798669</v>
      </c>
      <c r="H24" s="72" t="n">
        <f aca="false">SUM(H15:H23)</f>
        <v>162</v>
      </c>
      <c r="I24" s="72" t="n">
        <f aca="false">SUM(I15:I23)</f>
        <v>5</v>
      </c>
      <c r="J24" s="72" t="n">
        <f aca="false">SUM(J15:J23)</f>
        <v>2</v>
      </c>
      <c r="K24" s="72" t="n">
        <f aca="false">SUM(K15:K23)</f>
        <v>13</v>
      </c>
    </row>
    <row r="28" customFormat="false" ht="15" hidden="false" customHeight="false" outlineLevel="0" collapsed="false">
      <c r="B28" s="52" t="s">
        <v>85</v>
      </c>
      <c r="C28" s="52"/>
      <c r="D28" s="52"/>
      <c r="E28" s="52"/>
    </row>
    <row r="29" customFormat="false" ht="15" hidden="false" customHeight="false" outlineLevel="0" collapsed="false">
      <c r="B29" s="35" t="s">
        <v>86</v>
      </c>
      <c r="C29" s="53" t="s">
        <v>87</v>
      </c>
      <c r="D29" s="53" t="s">
        <v>88</v>
      </c>
      <c r="E29" s="53" t="s">
        <v>89</v>
      </c>
    </row>
    <row r="30" customFormat="false" ht="15" hidden="false" customHeight="false" outlineLevel="0" collapsed="false">
      <c r="B30" s="55" t="str">
        <f aca="false">Listen!$C$5</f>
        <v>Frühdienst</v>
      </c>
      <c r="C30" s="73" t="str">
        <f aca="false">Listen!$B$5</f>
        <v>F</v>
      </c>
      <c r="D30" s="74" t="n">
        <f aca="false">COUNTIF(Dienstplan!$F$11:$AJ$21,Listen!$B$5)</f>
        <v>53</v>
      </c>
      <c r="E30" s="57" t="n">
        <f aca="false">D30*Listen!$F$5</f>
        <v>424</v>
      </c>
    </row>
    <row r="31" customFormat="false" ht="15" hidden="false" customHeight="false" outlineLevel="0" collapsed="false">
      <c r="B31" s="62" t="str">
        <f aca="false">Listen!$C$6</f>
        <v>Spätdienst</v>
      </c>
      <c r="C31" s="75" t="str">
        <f aca="false">Listen!$B$6</f>
        <v>S</v>
      </c>
      <c r="D31" s="76" t="n">
        <f aca="false">COUNTIF(Dienstplan!$F$11:$AJ$21,Listen!$B$6)</f>
        <v>55</v>
      </c>
      <c r="E31" s="64" t="n">
        <f aca="false">D31*Listen!$F$6</f>
        <v>440</v>
      </c>
    </row>
    <row r="32" customFormat="false" ht="15" hidden="false" customHeight="false" outlineLevel="0" collapsed="false">
      <c r="B32" s="55" t="str">
        <f aca="false">Listen!$C$7</f>
        <v>Nachtdienst</v>
      </c>
      <c r="C32" s="77" t="str">
        <f aca="false">Listen!$B$7</f>
        <v>N</v>
      </c>
      <c r="D32" s="74" t="n">
        <f aca="false">COUNTIF(Dienstplan!$F$11:$AJ$21,Listen!$B$7)</f>
        <v>31</v>
      </c>
      <c r="E32" s="57" t="n">
        <f aca="false">D32*Listen!$F$7</f>
        <v>248</v>
      </c>
    </row>
    <row r="33" customFormat="false" ht="15" hidden="false" customHeight="false" outlineLevel="0" collapsed="false">
      <c r="B33" s="62" t="str">
        <f aca="false">Listen!$C$8</f>
        <v>Zwischendienst</v>
      </c>
      <c r="C33" s="78" t="str">
        <f aca="false">Listen!$B$8</f>
        <v>Z</v>
      </c>
      <c r="D33" s="76" t="n">
        <f aca="false">COUNTIF(Dienstplan!$F$11:$AJ$21,Listen!$B$8)</f>
        <v>23</v>
      </c>
      <c r="E33" s="64" t="n">
        <f aca="false">D33*Listen!$F$8</f>
        <v>172.5</v>
      </c>
    </row>
    <row r="34" customFormat="false" ht="15" hidden="false" customHeight="false" outlineLevel="0" collapsed="false">
      <c r="B34" s="55" t="str">
        <f aca="false">Listen!$C$9</f>
        <v>Fortbildung</v>
      </c>
      <c r="C34" s="79" t="str">
        <f aca="false">Listen!$B$9</f>
        <v>FB</v>
      </c>
      <c r="D34" s="74" t="n">
        <f aca="false">COUNTIF(Dienstplan!$F$11:$AJ$21,Listen!$B$9)</f>
        <v>1</v>
      </c>
      <c r="E34" s="57" t="n">
        <f aca="false">D34*Listen!$F$9</f>
        <v>7.5</v>
      </c>
    </row>
    <row r="35" customFormat="false" ht="15" hidden="false" customHeight="false" outlineLevel="0" collapsed="false">
      <c r="B35" s="62" t="str">
        <f aca="false">Listen!$C$10</f>
        <v>Frei / dienstfrei</v>
      </c>
      <c r="C35" s="80" t="str">
        <f aca="false">Listen!$B$10</f>
        <v>FR</v>
      </c>
      <c r="D35" s="76" t="n">
        <f aca="false">COUNTIF(Dienstplan!$F$11:$AJ$21,Listen!$B$10)</f>
        <v>100</v>
      </c>
      <c r="E35" s="64" t="n">
        <f aca="false">D35*Listen!$F$10</f>
        <v>0</v>
      </c>
    </row>
    <row r="36" customFormat="false" ht="15" hidden="false" customHeight="false" outlineLevel="0" collapsed="false">
      <c r="B36" s="55" t="str">
        <f aca="false">Listen!$C$11</f>
        <v>Urlaub</v>
      </c>
      <c r="C36" s="81" t="str">
        <f aca="false">Listen!$B$11</f>
        <v>U</v>
      </c>
      <c r="D36" s="74" t="n">
        <f aca="false">COUNTIF(Dienstplan!$F$11:$AJ$21,Listen!$B$11)</f>
        <v>5</v>
      </c>
      <c r="E36" s="57" t="n">
        <f aca="false">D36*Listen!$F$11</f>
        <v>0</v>
      </c>
    </row>
    <row r="37" customFormat="false" ht="15" hidden="false" customHeight="false" outlineLevel="0" collapsed="false">
      <c r="B37" s="62" t="str">
        <f aca="false">Listen!$C$12</f>
        <v>Krank (AU)</v>
      </c>
      <c r="C37" s="82" t="str">
        <f aca="false">Listen!$B$12</f>
        <v>K</v>
      </c>
      <c r="D37" s="76" t="n">
        <f aca="false">COUNTIF(Dienstplan!$F$11:$AJ$21,Listen!$B$12)</f>
        <v>2</v>
      </c>
      <c r="E37" s="64" t="n">
        <f aca="false">D37*Listen!$F$12</f>
        <v>0</v>
      </c>
    </row>
    <row r="38" customFormat="false" ht="15" hidden="false" customHeight="false" outlineLevel="0" collapsed="false">
      <c r="B38" s="68" t="s">
        <v>90</v>
      </c>
      <c r="C38" s="68"/>
      <c r="D38" s="83" t="n">
        <f aca="false">SUM(D30:D37)</f>
        <v>270</v>
      </c>
      <c r="E38" s="69" t="n">
        <f aca="false">SUM(E30:E37)</f>
        <v>1292</v>
      </c>
    </row>
  </sheetData>
  <mergeCells count="30">
    <mergeCell ref="B2:K2"/>
    <mergeCell ref="B3:K3"/>
    <mergeCell ref="B5:D5"/>
    <mergeCell ref="E5:G5"/>
    <mergeCell ref="H5:J5"/>
    <mergeCell ref="K5:M5"/>
    <mergeCell ref="B6:D6"/>
    <mergeCell ref="E6:G6"/>
    <mergeCell ref="H6:J6"/>
    <mergeCell ref="K6:M6"/>
    <mergeCell ref="B7:D7"/>
    <mergeCell ref="E7:G7"/>
    <mergeCell ref="H7:J7"/>
    <mergeCell ref="K7:M7"/>
    <mergeCell ref="B9:D9"/>
    <mergeCell ref="E9:G9"/>
    <mergeCell ref="H9:J9"/>
    <mergeCell ref="K9:M9"/>
    <mergeCell ref="B10:D10"/>
    <mergeCell ref="E10:G10"/>
    <mergeCell ref="H10:J10"/>
    <mergeCell ref="K10:M10"/>
    <mergeCell ref="B11:D11"/>
    <mergeCell ref="E11:G11"/>
    <mergeCell ref="H11:J11"/>
    <mergeCell ref="K11:M11"/>
    <mergeCell ref="B13:K13"/>
    <mergeCell ref="B24:C24"/>
    <mergeCell ref="B28:E28"/>
    <mergeCell ref="B38:C38"/>
  </mergeCells>
  <conditionalFormatting sqref="K10">
    <cfRule type="cellIs" priority="2" operator="greaterThan" aboveAverage="0" equalAverage="0" bottom="0" percent="0" rank="0" text="" dxfId="14">
      <formula>0</formula>
    </cfRule>
  </conditionalFormatting>
  <conditionalFormatting sqref="F15:F23">
    <cfRule type="cellIs" priority="3" operator="greaterThan" aboveAverage="0" equalAverage="0" bottom="0" percent="0" rank="0" text="" dxfId="10">
      <formula>0.001</formula>
    </cfRule>
    <cfRule type="cellIs" priority="4" operator="lessThan" aboveAverage="0" equalAverage="0" bottom="0" percent="0" rank="0" text="" dxfId="11">
      <formula>-0.001</formula>
    </cfRule>
  </conditionalFormatting>
  <conditionalFormatting sqref="G15:G23">
    <cfRule type="dataBar" priority="5">
      <dataBar showValue="1" minLength="10" maxLength="90">
        <cfvo type="num" val="0"/>
        <cfvo type="num" val="1.2"/>
        <color rgb="FFB8933F"/>
      </dataBar>
      <extLst>
        <ext xmlns:x14="http://schemas.microsoft.com/office/spreadsheetml/2009/9/main" uri="{B025F937-C7B1-47D3-B67F-A62EFF666E3E}">
          <x14:id>{FDD0E284-D778-4D18-9542-D0C46AFF87B8}</x14:id>
        </ext>
      </extLst>
    </cfRule>
  </conditionalFormatting>
  <conditionalFormatting sqref="K15:K23">
    <cfRule type="cellIs" priority="6" operator="greaterThan" aboveAverage="0" equalAverage="0" bottom="0" percent="0" rank="0" text="" dxfId="10">
      <formula>0</formula>
    </cfRule>
  </conditionalFormatting>
  <printOptions headings="false" gridLines="false" gridLinesSet="true" horizontalCentered="false" verticalCentered="false"/>
  <pageMargins left="0.3" right="0.3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DD0E284-D778-4D18-9542-D0C46AFF87B8}">
            <x14:dataBar minLength="10" maxLength="90" axisPosition="none" gradient="true">
              <x14:cfvo type="num">
                <xm:f>0</xm:f>
              </x14:cfvo>
              <x14:cfvo type="num">
                <xm:f>1.2</xm:f>
              </x14:cfvo>
              <x14:negativeFillColor rgb="FFB8933F"/>
              <x14:axisColor rgb="FF000000"/>
            </x14:dataBar>
          </x14:cfRule>
          <xm:sqref>G15:G23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8933F"/>
    <pageSetUpPr fitToPage="true"/>
  </sheetPr>
  <dimension ref="B2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20"/>
    <col collapsed="false" customWidth="true" hidden="false" outlineLevel="0" max="5" min="4" style="0" width="8"/>
    <col collapsed="false" customWidth="true" hidden="false" outlineLevel="0" max="6" min="6" style="0" width="7"/>
    <col collapsed="false" customWidth="true" hidden="false" outlineLevel="0" max="7" min="7" style="0" width="26"/>
    <col collapsed="false" customWidth="true" hidden="false" outlineLevel="0" max="8" min="8" style="0" width="12"/>
  </cols>
  <sheetData>
    <row r="2" customFormat="false" ht="25.5" hidden="false" customHeight="true" outlineLevel="0" collapsed="false">
      <c r="B2" s="84" t="s">
        <v>91</v>
      </c>
      <c r="C2" s="84"/>
      <c r="D2" s="84"/>
      <c r="E2" s="84"/>
      <c r="F2" s="84"/>
      <c r="G2" s="84"/>
      <c r="H2" s="84"/>
    </row>
    <row r="3" customFormat="false" ht="15" hidden="false" customHeight="false" outlineLevel="0" collapsed="false">
      <c r="B3" s="85" t="s">
        <v>92</v>
      </c>
      <c r="C3" s="85"/>
      <c r="D3" s="85"/>
      <c r="E3" s="85"/>
      <c r="F3" s="85"/>
      <c r="G3" s="85"/>
      <c r="H3" s="85"/>
    </row>
    <row r="4" customFormat="false" ht="15" hidden="false" customHeight="false" outlineLevel="0" collapsed="false">
      <c r="B4" s="77" t="s">
        <v>87</v>
      </c>
      <c r="C4" s="77" t="s">
        <v>93</v>
      </c>
      <c r="D4" s="77" t="s">
        <v>94</v>
      </c>
      <c r="E4" s="77" t="s">
        <v>95</v>
      </c>
      <c r="F4" s="77" t="s">
        <v>96</v>
      </c>
      <c r="G4" s="77" t="s">
        <v>97</v>
      </c>
      <c r="H4" s="77" t="s">
        <v>98</v>
      </c>
    </row>
    <row r="5" customFormat="false" ht="15" hidden="false" customHeight="false" outlineLevel="0" collapsed="false">
      <c r="B5" s="86" t="s">
        <v>34</v>
      </c>
      <c r="C5" s="54" t="s">
        <v>99</v>
      </c>
      <c r="D5" s="74" t="s">
        <v>100</v>
      </c>
      <c r="E5" s="74" t="s">
        <v>101</v>
      </c>
      <c r="F5" s="57" t="n">
        <v>8</v>
      </c>
      <c r="G5" s="74" t="s">
        <v>102</v>
      </c>
      <c r="H5" s="87" t="n">
        <v>1</v>
      </c>
    </row>
    <row r="6" customFormat="false" ht="15" hidden="false" customHeight="false" outlineLevel="0" collapsed="false">
      <c r="B6" s="88" t="s">
        <v>36</v>
      </c>
      <c r="C6" s="61" t="s">
        <v>103</v>
      </c>
      <c r="D6" s="76" t="s">
        <v>101</v>
      </c>
      <c r="E6" s="76" t="s">
        <v>104</v>
      </c>
      <c r="F6" s="64" t="n">
        <v>8</v>
      </c>
      <c r="G6" s="76" t="s">
        <v>102</v>
      </c>
      <c r="H6" s="89" t="n">
        <v>1</v>
      </c>
    </row>
    <row r="7" customFormat="false" ht="15" hidden="false" customHeight="false" outlineLevel="0" collapsed="false">
      <c r="B7" s="90" t="s">
        <v>37</v>
      </c>
      <c r="C7" s="54" t="s">
        <v>105</v>
      </c>
      <c r="D7" s="74" t="s">
        <v>104</v>
      </c>
      <c r="E7" s="74" t="s">
        <v>100</v>
      </c>
      <c r="F7" s="57" t="n">
        <v>8</v>
      </c>
      <c r="G7" s="74" t="s">
        <v>102</v>
      </c>
      <c r="H7" s="87" t="n">
        <v>1</v>
      </c>
    </row>
    <row r="8" customFormat="false" ht="15" hidden="false" customHeight="false" outlineLevel="0" collapsed="false">
      <c r="B8" s="91" t="s">
        <v>56</v>
      </c>
      <c r="C8" s="61" t="s">
        <v>106</v>
      </c>
      <c r="D8" s="76" t="s">
        <v>107</v>
      </c>
      <c r="E8" s="76" t="s">
        <v>108</v>
      </c>
      <c r="F8" s="64" t="n">
        <v>7.5</v>
      </c>
      <c r="G8" s="76" t="s">
        <v>102</v>
      </c>
      <c r="H8" s="89" t="n">
        <v>1</v>
      </c>
    </row>
    <row r="9" customFormat="false" ht="15" hidden="false" customHeight="false" outlineLevel="0" collapsed="false">
      <c r="B9" s="92" t="s">
        <v>41</v>
      </c>
      <c r="C9" s="54" t="s">
        <v>109</v>
      </c>
      <c r="D9" s="74" t="s">
        <v>110</v>
      </c>
      <c r="E9" s="74" t="s">
        <v>111</v>
      </c>
      <c r="F9" s="57" t="n">
        <v>7.5</v>
      </c>
      <c r="G9" s="74" t="s">
        <v>112</v>
      </c>
      <c r="H9" s="87" t="n">
        <v>0</v>
      </c>
    </row>
    <row r="10" customFormat="false" ht="15" hidden="false" customHeight="false" outlineLevel="0" collapsed="false">
      <c r="B10" s="93" t="s">
        <v>35</v>
      </c>
      <c r="C10" s="61" t="s">
        <v>113</v>
      </c>
      <c r="D10" s="76" t="s">
        <v>114</v>
      </c>
      <c r="E10" s="76" t="s">
        <v>114</v>
      </c>
      <c r="F10" s="64" t="n">
        <v>0</v>
      </c>
      <c r="G10" s="76" t="s">
        <v>112</v>
      </c>
      <c r="H10" s="89" t="n">
        <v>0</v>
      </c>
    </row>
    <row r="11" customFormat="false" ht="15" hidden="false" customHeight="false" outlineLevel="0" collapsed="false">
      <c r="B11" s="94" t="s">
        <v>44</v>
      </c>
      <c r="C11" s="54" t="s">
        <v>82</v>
      </c>
      <c r="D11" s="74" t="s">
        <v>114</v>
      </c>
      <c r="E11" s="74" t="s">
        <v>114</v>
      </c>
      <c r="F11" s="57" t="n">
        <v>0</v>
      </c>
      <c r="G11" s="74" t="s">
        <v>112</v>
      </c>
      <c r="H11" s="87" t="n">
        <v>0</v>
      </c>
    </row>
    <row r="12" customFormat="false" ht="15" hidden="false" customHeight="false" outlineLevel="0" collapsed="false">
      <c r="B12" s="95" t="s">
        <v>47</v>
      </c>
      <c r="C12" s="61" t="s">
        <v>115</v>
      </c>
      <c r="D12" s="76" t="s">
        <v>114</v>
      </c>
      <c r="E12" s="76" t="s">
        <v>114</v>
      </c>
      <c r="F12" s="64" t="n">
        <v>0</v>
      </c>
      <c r="G12" s="76" t="s">
        <v>112</v>
      </c>
      <c r="H12" s="89" t="n">
        <v>0</v>
      </c>
    </row>
    <row r="13" customFormat="false" ht="15" hidden="false" customHeight="false" outlineLevel="0" collapsed="false">
      <c r="G13" s="96" t="s">
        <v>116</v>
      </c>
      <c r="H13" s="96"/>
    </row>
    <row r="14" customFormat="false" ht="15" hidden="false" customHeight="false" outlineLevel="0" collapsed="false">
      <c r="B14" s="77" t="s">
        <v>117</v>
      </c>
      <c r="C14" s="97" t="s">
        <v>118</v>
      </c>
      <c r="D14" s="97"/>
      <c r="G14" s="98" t="s">
        <v>119</v>
      </c>
      <c r="H14" s="99" t="n">
        <v>2</v>
      </c>
    </row>
    <row r="15" customFormat="false" ht="15" hidden="false" customHeight="false" outlineLevel="0" collapsed="false">
      <c r="B15" s="100" t="n">
        <v>46023</v>
      </c>
      <c r="C15" s="101" t="s">
        <v>16</v>
      </c>
      <c r="D15" s="101"/>
      <c r="G15" s="98" t="s">
        <v>120</v>
      </c>
      <c r="H15" s="99" t="n">
        <v>2</v>
      </c>
    </row>
    <row r="16" customFormat="false" ht="15" hidden="false" customHeight="false" outlineLevel="0" collapsed="false">
      <c r="B16" s="102" t="n">
        <v>46115</v>
      </c>
      <c r="C16" s="103" t="s">
        <v>29</v>
      </c>
      <c r="D16" s="103"/>
      <c r="G16" s="98" t="s">
        <v>121</v>
      </c>
      <c r="H16" s="99" t="n">
        <v>1</v>
      </c>
    </row>
    <row r="17" customFormat="false" ht="15" hidden="false" customHeight="false" outlineLevel="0" collapsed="false">
      <c r="B17" s="100" t="n">
        <v>46118</v>
      </c>
      <c r="C17" s="101" t="s">
        <v>30</v>
      </c>
      <c r="D17" s="101"/>
      <c r="G17" s="98" t="s">
        <v>122</v>
      </c>
      <c r="H17" s="104" t="n">
        <v>11</v>
      </c>
    </row>
    <row r="18" customFormat="false" ht="15" hidden="false" customHeight="false" outlineLevel="0" collapsed="false">
      <c r="B18" s="102" t="n">
        <v>46143</v>
      </c>
      <c r="C18" s="103" t="s">
        <v>38</v>
      </c>
      <c r="D18" s="103"/>
      <c r="G18" s="98" t="s">
        <v>123</v>
      </c>
      <c r="H18" s="105" t="n">
        <f aca="false">ROUND($H$20/$H$21,1)</f>
        <v>43.4</v>
      </c>
    </row>
    <row r="19" customFormat="false" ht="15" hidden="false" customHeight="false" outlineLevel="0" collapsed="false">
      <c r="B19" s="100" t="n">
        <v>46156</v>
      </c>
      <c r="C19" s="101" t="s">
        <v>42</v>
      </c>
      <c r="D19" s="101"/>
    </row>
    <row r="20" customFormat="false" ht="15" hidden="false" customHeight="false" outlineLevel="0" collapsed="false">
      <c r="B20" s="102" t="n">
        <v>46167</v>
      </c>
      <c r="C20" s="103" t="s">
        <v>45</v>
      </c>
      <c r="D20" s="103"/>
      <c r="G20" s="98" t="s">
        <v>124</v>
      </c>
      <c r="H20" s="106" t="n">
        <v>603</v>
      </c>
    </row>
    <row r="21" customFormat="false" ht="15" hidden="false" customHeight="false" outlineLevel="0" collapsed="false">
      <c r="B21" s="100" t="n">
        <v>46298</v>
      </c>
      <c r="C21" s="101" t="s">
        <v>48</v>
      </c>
      <c r="D21" s="101"/>
      <c r="G21" s="98" t="s">
        <v>125</v>
      </c>
      <c r="H21" s="107" t="n">
        <v>13.9</v>
      </c>
    </row>
    <row r="22" customFormat="false" ht="15" hidden="false" customHeight="false" outlineLevel="0" collapsed="false">
      <c r="B22" s="102" t="n">
        <v>46381</v>
      </c>
      <c r="C22" s="103" t="s">
        <v>51</v>
      </c>
      <c r="D22" s="103"/>
    </row>
    <row r="23" customFormat="false" ht="15" hidden="false" customHeight="false" outlineLevel="0" collapsed="false">
      <c r="B23" s="100" t="n">
        <v>46382</v>
      </c>
      <c r="C23" s="101" t="s">
        <v>53</v>
      </c>
      <c r="D23" s="101"/>
    </row>
    <row r="25" customFormat="false" ht="15" hidden="false" customHeight="false" outlineLevel="0" collapsed="false">
      <c r="B25" s="108" t="s">
        <v>126</v>
      </c>
      <c r="C25" s="108"/>
      <c r="D25" s="108"/>
    </row>
    <row r="28" customFormat="false" ht="15" hidden="false" customHeight="false" outlineLevel="0" collapsed="false">
      <c r="B28" s="52" t="s">
        <v>127</v>
      </c>
      <c r="C28" s="52"/>
      <c r="D28" s="52"/>
      <c r="E28" s="52"/>
      <c r="F28" s="52"/>
      <c r="G28" s="52"/>
      <c r="H28" s="52"/>
    </row>
    <row r="29" customFormat="false" ht="25.5" hidden="false" customHeight="true" outlineLevel="0" collapsed="false">
      <c r="B29" s="109" t="s">
        <v>128</v>
      </c>
      <c r="C29" s="110" t="s">
        <v>129</v>
      </c>
      <c r="D29" s="110"/>
      <c r="E29" s="110"/>
      <c r="F29" s="110"/>
      <c r="G29" s="110"/>
      <c r="H29" s="110"/>
    </row>
    <row r="30" customFormat="false" ht="25.5" hidden="false" customHeight="true" outlineLevel="0" collapsed="false">
      <c r="B30" s="109" t="s">
        <v>130</v>
      </c>
      <c r="C30" s="110" t="s">
        <v>131</v>
      </c>
      <c r="D30" s="110"/>
      <c r="E30" s="110"/>
      <c r="F30" s="110"/>
      <c r="G30" s="110"/>
      <c r="H30" s="110"/>
    </row>
    <row r="31" customFormat="false" ht="25.5" hidden="false" customHeight="true" outlineLevel="0" collapsed="false">
      <c r="B31" s="109" t="s">
        <v>132</v>
      </c>
      <c r="C31" s="110" t="s">
        <v>133</v>
      </c>
      <c r="D31" s="110"/>
      <c r="E31" s="110"/>
      <c r="F31" s="110"/>
      <c r="G31" s="110"/>
      <c r="H31" s="110"/>
    </row>
    <row r="32" customFormat="false" ht="25.5" hidden="false" customHeight="true" outlineLevel="0" collapsed="false">
      <c r="B32" s="109" t="s">
        <v>134</v>
      </c>
      <c r="C32" s="110" t="s">
        <v>135</v>
      </c>
      <c r="D32" s="110"/>
      <c r="E32" s="110"/>
      <c r="F32" s="110"/>
      <c r="G32" s="110"/>
      <c r="H32" s="110"/>
    </row>
    <row r="33" customFormat="false" ht="25.5" hidden="false" customHeight="true" outlineLevel="0" collapsed="false">
      <c r="B33" s="109" t="s">
        <v>136</v>
      </c>
      <c r="C33" s="110" t="s">
        <v>137</v>
      </c>
      <c r="D33" s="110"/>
      <c r="E33" s="110"/>
      <c r="F33" s="110"/>
      <c r="G33" s="110"/>
      <c r="H33" s="110"/>
    </row>
    <row r="34" customFormat="false" ht="25.5" hidden="false" customHeight="true" outlineLevel="0" collapsed="false">
      <c r="B34" s="109" t="s">
        <v>138</v>
      </c>
      <c r="C34" s="110" t="s">
        <v>139</v>
      </c>
      <c r="D34" s="110"/>
      <c r="E34" s="110"/>
      <c r="F34" s="110"/>
      <c r="G34" s="110"/>
      <c r="H34" s="110"/>
    </row>
    <row r="36" customFormat="false" ht="15" hidden="false" customHeight="false" outlineLevel="0" collapsed="false">
      <c r="B36" s="111" t="s">
        <v>140</v>
      </c>
    </row>
    <row r="37" customFormat="false" ht="15" hidden="false" customHeight="false" outlineLevel="0" collapsed="false">
      <c r="B37" s="73" t="s">
        <v>34</v>
      </c>
      <c r="C37" s="112" t="s">
        <v>99</v>
      </c>
      <c r="D37" s="75" t="s">
        <v>36</v>
      </c>
      <c r="E37" s="112" t="s">
        <v>103</v>
      </c>
      <c r="F37" s="77" t="s">
        <v>37</v>
      </c>
      <c r="G37" s="112" t="s">
        <v>105</v>
      </c>
    </row>
    <row r="38" customFormat="false" ht="15" hidden="false" customHeight="false" outlineLevel="0" collapsed="false">
      <c r="B38" s="78" t="s">
        <v>56</v>
      </c>
      <c r="C38" s="112" t="s">
        <v>106</v>
      </c>
      <c r="D38" s="79" t="s">
        <v>41</v>
      </c>
      <c r="E38" s="112" t="s">
        <v>109</v>
      </c>
      <c r="F38" s="80" t="s">
        <v>35</v>
      </c>
      <c r="G38" s="112" t="s">
        <v>141</v>
      </c>
    </row>
    <row r="39" customFormat="false" ht="15" hidden="false" customHeight="false" outlineLevel="0" collapsed="false">
      <c r="B39" s="81" t="s">
        <v>44</v>
      </c>
      <c r="C39" s="112" t="s">
        <v>82</v>
      </c>
      <c r="D39" s="82" t="s">
        <v>47</v>
      </c>
      <c r="E39" s="112" t="s">
        <v>27</v>
      </c>
    </row>
    <row r="41" customFormat="false" ht="25.5" hidden="false" customHeight="true" outlineLevel="0" collapsed="false">
      <c r="B41" s="113" t="s">
        <v>142</v>
      </c>
      <c r="C41" s="113"/>
      <c r="D41" s="113"/>
      <c r="E41" s="113"/>
      <c r="F41" s="113"/>
      <c r="G41" s="113"/>
      <c r="H41" s="113"/>
    </row>
  </sheetData>
  <mergeCells count="22">
    <mergeCell ref="B2:H2"/>
    <mergeCell ref="B3:H3"/>
    <mergeCell ref="G13:H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B25:D25"/>
    <mergeCell ref="B28:H28"/>
    <mergeCell ref="C29:H29"/>
    <mergeCell ref="C30:H30"/>
    <mergeCell ref="C31:H31"/>
    <mergeCell ref="C32:H32"/>
    <mergeCell ref="C33:H33"/>
    <mergeCell ref="C34:H34"/>
    <mergeCell ref="B41:H41"/>
  </mergeCells>
  <printOptions headings="false" gridLines="false" gridLinesSet="true" horizontalCentered="false" verticalCentered="false"/>
  <pageMargins left="0.3" right="0.3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2026-09-05T09:21:58Z</dcterms:created>
  <dc:creator>openpyxl</dc:creator>
  <dc:description/>
  <dc:language>en-US</dc:language>
  <cp:lastModifiedBy/>
  <dcterms:modified xsi:type="dcterms:W3CDTF">2026-09-05T09:22:00Z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