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Excel Vorlage\Generador\"/>
    </mc:Choice>
  </mc:AlternateContent>
  <xr:revisionPtr revIDLastSave="0" documentId="13_ncr:1_{6F7D63DE-72ED-4826-89D2-1AE3EAA6C08F}" xr6:coauthVersionLast="47" xr6:coauthVersionMax="47" xr10:uidLastSave="{00000000-0000-0000-0000-000000000000}"/>
  <bookViews>
    <workbookView xWindow="1035" yWindow="1035" windowWidth="25500" windowHeight="13500" tabRatio="500" xr2:uid="{00000000-000D-0000-FFFF-FFFF00000000}"/>
  </bookViews>
  <sheets>
    <sheet name="Übersicht" sheetId="1" r:id="rId1"/>
    <sheet name="Tagebuch" sheetId="2" r:id="rId2"/>
    <sheet name="Monatswerte" sheetId="3" r:id="rId3"/>
    <sheet name="Info" sheetId="4" r:id="rId4"/>
    <sheet name="Listen" sheetId="5" state="hidden" r:id="rId5"/>
  </sheets>
  <definedNames>
    <definedName name="_xlnm._FilterDatabase" localSheetId="1" hidden="1">Tagebuch!$B$5:$J$71</definedName>
    <definedName name="Uebersicht_High">Übersicht!$I$10</definedName>
    <definedName name="Uebersicht_Hypo">Übersicht!$I$11</definedName>
    <definedName name="Uebersicht_Low">Übersicht!$I$9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8" i="3" l="1"/>
  <c r="F18" i="3"/>
  <c r="E18" i="3"/>
  <c r="D18" i="3"/>
  <c r="C18" i="3"/>
  <c r="F17" i="3"/>
  <c r="G17" i="3" s="1"/>
  <c r="F16" i="3"/>
  <c r="G16" i="3" s="1"/>
  <c r="F15" i="3"/>
  <c r="G15" i="3" s="1"/>
  <c r="F14" i="3"/>
  <c r="E14" i="3" s="1"/>
  <c r="F13" i="3"/>
  <c r="G13" i="3" s="1"/>
  <c r="F12" i="3"/>
  <c r="G12" i="3" s="1"/>
  <c r="F11" i="3"/>
  <c r="G11" i="3" s="1"/>
  <c r="F10" i="3"/>
  <c r="E10" i="3" s="1"/>
  <c r="F9" i="3"/>
  <c r="G9" i="3" s="1"/>
  <c r="F8" i="3"/>
  <c r="G8" i="3" s="1"/>
  <c r="F7" i="3"/>
  <c r="G7" i="3" s="1"/>
  <c r="F6" i="3"/>
  <c r="E6" i="3" s="1"/>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J49" i="1" s="1"/>
  <c r="L49" i="1" s="1"/>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J47" i="1" s="1"/>
  <c r="L47" i="1" s="1"/>
  <c r="F14" i="2"/>
  <c r="F13" i="2"/>
  <c r="F12" i="2"/>
  <c r="F11" i="2"/>
  <c r="F10" i="2"/>
  <c r="F9" i="2"/>
  <c r="J48" i="1" s="1"/>
  <c r="L48" i="1" s="1"/>
  <c r="F8" i="2"/>
  <c r="F7" i="2"/>
  <c r="F6" i="2"/>
  <c r="D54" i="1"/>
  <c r="C54" i="1"/>
  <c r="D53" i="1"/>
  <c r="C53" i="1"/>
  <c r="D52" i="1"/>
  <c r="C52" i="1"/>
  <c r="D51" i="1"/>
  <c r="C51" i="1"/>
  <c r="D50" i="1"/>
  <c r="C50" i="1"/>
  <c r="D49" i="1"/>
  <c r="C49" i="1"/>
  <c r="D48" i="1"/>
  <c r="C48" i="1"/>
  <c r="D47" i="1"/>
  <c r="C47" i="1"/>
  <c r="D46" i="1"/>
  <c r="C46" i="1"/>
  <c r="K23" i="1"/>
  <c r="H23" i="1"/>
  <c r="E23" i="1"/>
  <c r="B23" i="1"/>
  <c r="K18" i="1"/>
  <c r="H18" i="1"/>
  <c r="E18" i="1"/>
  <c r="B18" i="1"/>
  <c r="B5" i="1"/>
  <c r="C7" i="3" l="1"/>
  <c r="C11" i="3"/>
  <c r="C15" i="3"/>
  <c r="D7" i="3"/>
  <c r="D11" i="3"/>
  <c r="D15" i="3"/>
  <c r="E7" i="3"/>
  <c r="E11" i="3"/>
  <c r="E15" i="3"/>
  <c r="C8" i="3"/>
  <c r="C12" i="3"/>
  <c r="C16" i="3"/>
  <c r="D8" i="3"/>
  <c r="D12" i="3"/>
  <c r="D16" i="3"/>
  <c r="E8" i="3"/>
  <c r="E12" i="3"/>
  <c r="E16" i="3"/>
  <c r="C9" i="3"/>
  <c r="C13" i="3"/>
  <c r="C17" i="3"/>
  <c r="D9" i="3"/>
  <c r="D13" i="3"/>
  <c r="D17" i="3"/>
  <c r="E9" i="3"/>
  <c r="E13" i="3"/>
  <c r="E17" i="3"/>
  <c r="J50" i="1"/>
  <c r="L50" i="1" s="1"/>
  <c r="G6" i="3"/>
  <c r="G10" i="3"/>
  <c r="G14" i="3"/>
  <c r="J46" i="1"/>
  <c r="L46" i="1" s="1"/>
  <c r="C6" i="3"/>
  <c r="C10" i="3"/>
  <c r="C14" i="3"/>
  <c r="D6" i="3"/>
  <c r="D10" i="3"/>
  <c r="D14" i="3"/>
</calcChain>
</file>

<file path=xl/sharedStrings.xml><?xml version="1.0" encoding="utf-8"?>
<sst xmlns="http://schemas.openxmlformats.org/spreadsheetml/2006/main" count="301" uniqueCount="173">
  <si>
    <t>GESUNDHEIT  ·  BLUTZUCKER</t>
  </si>
  <si>
    <t>BLUTZUCKER-ÜBERSICHT</t>
  </si>
  <si>
    <t>Persönliche Angaben</t>
  </si>
  <si>
    <t>Mein Zielbereich</t>
  </si>
  <si>
    <t>Grenzen für die Ampel-Bewertung</t>
  </si>
  <si>
    <t>Name</t>
  </si>
  <si>
    <t>Muster, Alex</t>
  </si>
  <si>
    <t>Untere Zielgrenze</t>
  </si>
  <si>
    <t>Geburtsdatum</t>
  </si>
  <si>
    <t>Obere Zielgrenze</t>
  </si>
  <si>
    <t>Einheit</t>
  </si>
  <si>
    <t>mg/dl</t>
  </si>
  <si>
    <t>Hypo-Schwelle</t>
  </si>
  <si>
    <t>Therapie</t>
  </si>
  <si>
    <t>Basis-Bolus (Beispiel)</t>
  </si>
  <si>
    <t>Hinweis</t>
  </si>
  <si>
    <t>Zielwerte individuell mit der Ärztin/dem Arzt abstimmen.</t>
  </si>
  <si>
    <t>Kennzahlen</t>
  </si>
  <si>
    <t>MESSUNGEN</t>
  </si>
  <si>
    <t>Ø BLUTZUCKER</t>
  </si>
  <si>
    <t>HÖCHSTWERT</t>
  </si>
  <si>
    <t>TIEFSTWERT</t>
  </si>
  <si>
    <t>erfasste Werte</t>
  </si>
  <si>
    <t>Durchschnitt gesamt</t>
  </si>
  <si>
    <t>Maximum</t>
  </si>
  <si>
    <t>Minimum</t>
  </si>
  <si>
    <t>IM ZIELBEREICH</t>
  </si>
  <si>
    <t>UNTERZUCKER.</t>
  </si>
  <si>
    <t>GESCHÄTZTER HbA1c</t>
  </si>
  <si>
    <t>MESSTAGE</t>
  </si>
  <si>
    <t>Anteil „Time in Range“</t>
  </si>
  <si>
    <t>Werte unter der Schwelle</t>
  </si>
  <si>
    <t>in % (Näherung aus Ø)</t>
  </si>
  <si>
    <t>dokumentierte Tage</t>
  </si>
  <si>
    <t>Blutzucker-Verlauf</t>
  </si>
  <si>
    <t>Alle Einzelmessungen mit Zielband</t>
  </si>
  <si>
    <t>Ø nach Messzeitpunkt</t>
  </si>
  <si>
    <t>Verteilung der Bewertungen</t>
  </si>
  <si>
    <t>Durchschnitt je Tageszeit</t>
  </si>
  <si>
    <t>Messzeitpunkt</t>
  </si>
  <si>
    <t>Ø Wert</t>
  </si>
  <si>
    <t>Bewertung</t>
  </si>
  <si>
    <t>Anzahl</t>
  </si>
  <si>
    <t>Anteil</t>
  </si>
  <si>
    <t>Nüchtern</t>
  </si>
  <si>
    <t>Unterzuckerung</t>
  </si>
  <si>
    <t>Vor Frühstück</t>
  </si>
  <si>
    <t>Niedrig</t>
  </si>
  <si>
    <t>Nach Frühstück</t>
  </si>
  <si>
    <t>Im Zielbereich</t>
  </si>
  <si>
    <t>Vor Mittag</t>
  </si>
  <si>
    <t>Erhöht</t>
  </si>
  <si>
    <t>Nach Mittag</t>
  </si>
  <si>
    <t>Hoch</t>
  </si>
  <si>
    <t>Vor Abendessen</t>
  </si>
  <si>
    <t>Nach Abendessen</t>
  </si>
  <si>
    <t>Vor dem Schlafen</t>
  </si>
  <si>
    <t>Nachts</t>
  </si>
  <si>
    <t>Hinweis: Diese Vorlage dient nur der persönlichen Dokumentation und ersetzt keine ärztliche Beratung. Werte ausschließlich im Blatt „Tagebuch“ eintragen; Übersicht und Diagramm aktualisieren sich automatisch. Alle Beispieldaten sind frei erfunden.</t>
  </si>
  <si>
    <t>BLUTZUCKER-TAGEBUCH</t>
  </si>
  <si>
    <t>Jede Messung eine Zeile. „Bewertung“ vergleicht den Wert automatisch mit Ihrem Zielbereich (siehe Blatt „Übersicht“).</t>
  </si>
  <si>
    <t>Datum</t>
  </si>
  <si>
    <t>Uhrzeit</t>
  </si>
  <si>
    <t>Blutzucker</t>
  </si>
  <si>
    <t>Insulin</t>
  </si>
  <si>
    <t>Kohlenhydrate</t>
  </si>
  <si>
    <t>Aktivität</t>
  </si>
  <si>
    <t>Notiz</t>
  </si>
  <si>
    <t>07:10</t>
  </si>
  <si>
    <t>Keine</t>
  </si>
  <si>
    <t>09:20</t>
  </si>
  <si>
    <t>Leicht</t>
  </si>
  <si>
    <t>Haferflocken</t>
  </si>
  <si>
    <t>12:30</t>
  </si>
  <si>
    <t>14:40</t>
  </si>
  <si>
    <t>Mittel</t>
  </si>
  <si>
    <t>Spaziergang danach</t>
  </si>
  <si>
    <t>18:30</t>
  </si>
  <si>
    <t>22:30</t>
  </si>
  <si>
    <t>06:55</t>
  </si>
  <si>
    <t>09:15</t>
  </si>
  <si>
    <t>Brötchen</t>
  </si>
  <si>
    <t>13:00</t>
  </si>
  <si>
    <t>18:20</t>
  </si>
  <si>
    <t>Sport am Nachmittag</t>
  </si>
  <si>
    <t>22:45</t>
  </si>
  <si>
    <t>07:05</t>
  </si>
  <si>
    <t>Leichtes Zittern morgens</t>
  </si>
  <si>
    <t>09:30</t>
  </si>
  <si>
    <t>12:45</t>
  </si>
  <si>
    <t>19:00</t>
  </si>
  <si>
    <t>Pasta, größere Portion</t>
  </si>
  <si>
    <t>07:00</t>
  </si>
  <si>
    <t>13:10</t>
  </si>
  <si>
    <t>18:40</t>
  </si>
  <si>
    <t>Intensiv</t>
  </si>
  <si>
    <t>Krafttraining</t>
  </si>
  <si>
    <t>22:50</t>
  </si>
  <si>
    <t>06:50</t>
  </si>
  <si>
    <t>09:25</t>
  </si>
  <si>
    <t>14:30</t>
  </si>
  <si>
    <t>22:40</t>
  </si>
  <si>
    <t>07:15</t>
  </si>
  <si>
    <t>12:20</t>
  </si>
  <si>
    <t>19:10</t>
  </si>
  <si>
    <t>23:00</t>
  </si>
  <si>
    <t>09:40</t>
  </si>
  <si>
    <t>Wenig geschlafen</t>
  </si>
  <si>
    <t>13:30</t>
  </si>
  <si>
    <t>22:35</t>
  </si>
  <si>
    <t>13:05</t>
  </si>
  <si>
    <t>06:58</t>
  </si>
  <si>
    <t>Restaurant</t>
  </si>
  <si>
    <t>Erkältung</t>
  </si>
  <si>
    <t>13:15</t>
  </si>
  <si>
    <t>Joggen 5 km</t>
  </si>
  <si>
    <t>14:00</t>
  </si>
  <si>
    <t>MONATSWERTE 2026</t>
  </si>
  <si>
    <t>Automatische Monatsauswertung aus dem Tagebuch – Durchschnitt, Spanne und Zielbereich-Quote je Monat.</t>
  </si>
  <si>
    <t>Monat</t>
  </si>
  <si>
    <t>Tiefstwert</t>
  </si>
  <si>
    <t>Höchstwert</t>
  </si>
  <si>
    <t>Messungen</t>
  </si>
  <si>
    <t>Im Ziel %</t>
  </si>
  <si>
    <t>Januar</t>
  </si>
  <si>
    <t>Februar</t>
  </si>
  <si>
    <t>März</t>
  </si>
  <si>
    <t>April</t>
  </si>
  <si>
    <t>Mai</t>
  </si>
  <si>
    <t>Juni</t>
  </si>
  <si>
    <t>Juli</t>
  </si>
  <si>
    <t>August</t>
  </si>
  <si>
    <t>September</t>
  </si>
  <si>
    <t>Oktober</t>
  </si>
  <si>
    <t>November</t>
  </si>
  <si>
    <t>Dezember</t>
  </si>
  <si>
    <t>Jahr gesamt</t>
  </si>
  <si>
    <t>INFORMATION &amp; ANLEITUNG</t>
  </si>
  <si>
    <t>Kurzüberblick, Blattstruktur, Farblogik und wichtige Hinweise zu dieser Vorlage.</t>
  </si>
  <si>
    <t>Worum es geht</t>
  </si>
  <si>
    <t>Mit diesem Blutzucker-Tagebuch dokumentieren Sie Ihre Messwerte strukturiert und behalten den Verlauf im Blick. Jede Messung wird automatisch mit Ihrem persönlichen Zielbereich verglichen und farblich bewertet. Übersicht, Diagramm und Monatswerte berechnen sich selbst. Keine Makros, läuft vollständig offline.</t>
  </si>
  <si>
    <t>Die Blätter im Überblick</t>
  </si>
  <si>
    <t>Blatt</t>
  </si>
  <si>
    <t>Inhalt</t>
  </si>
  <si>
    <t>Übersicht</t>
  </si>
  <si>
    <t>Kennzahlen (Ø, Höchst-/Tiefstwert, Time-in-Range u.a.), Zielbereich-Eingabe, Verlaufsdiagramm und Verteilungen. Nur ansehen – bis auf den Zielbereich nichts eintragen.</t>
  </si>
  <si>
    <t>Tagebuch</t>
  </si>
  <si>
    <t>Hier tragen Sie jede Messung ein: Datum, Uhrzeit, Messzeitpunkt, Blutzucker, Insulin, Kohlenhydrate, Aktivität und Notiz.</t>
  </si>
  <si>
    <t>Monatswerte</t>
  </si>
  <si>
    <t>Automatische Monatsauswertung: Durchschnitt, Spanne, Anzahl und Zielquote je Monat, plus Balkendiagramm.</t>
  </si>
  <si>
    <t>Info</t>
  </si>
  <si>
    <t>Dieses Blatt.</t>
  </si>
  <si>
    <t>Farb- und Bewertungslogik</t>
  </si>
  <si>
    <t>Blaue Schrift</t>
  </si>
  <si>
    <t>Eingabefelder – hier tragen Sie Ihre Werte ein.</t>
  </si>
  <si>
    <t>Wert liegt zwischen unterer und oberer Zielgrenze.</t>
  </si>
  <si>
    <t>Wert leicht über der oberen Zielgrenze.</t>
  </si>
  <si>
    <t>Wert deutlich über dem Ziel – beobachten.</t>
  </si>
  <si>
    <t>Niedrig / Unterzuckerung</t>
  </si>
  <si>
    <t>Wert unter Zielgrenze bzw. Hypo-Schwelle.</t>
  </si>
  <si>
    <t>Referenzwerte (Orientierung)</t>
  </si>
  <si>
    <t>Allgemeine Anhaltspunkte – keine ärztliche Empfehlung</t>
  </si>
  <si>
    <t>Kategorie</t>
  </si>
  <si>
    <t>Nüchtern-Blutzucker (mg/dl)</t>
  </si>
  <si>
    <t>unter 70</t>
  </si>
  <si>
    <t>Normbereich (nüchtern)</t>
  </si>
  <si>
    <t>70 – 99</t>
  </si>
  <si>
    <t>Grenzbereich</t>
  </si>
  <si>
    <t>100 – 125</t>
  </si>
  <si>
    <t>Auffällig / erhöht</t>
  </si>
  <si>
    <t>ab 126</t>
  </si>
  <si>
    <t>Wichtig: Diese Vorlage dient nur der persönlichen Dokumentation und ersetzt keine medizinische Diagnose oder Beratung. Name, Werte und alle weiteren Angaben sind frei erfunden. Besprechen Sie Ihre Werte und Zielbereiche stets mit Ihrer Ärztin oder Ihrem Arzt.</t>
  </si>
  <si>
    <t>Hilfsdaten für Dropdowns – nicht löschen.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</si>
</sst>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 mg/dl&quot;;[Red]0&quot; mg/dl&quot;"/>
    <numFmt numFmtId="165" formatCode="dd\.mm\.yyyy"/>
    <numFmt numFmtId="166" formatCode="0.0%"/>
    <numFmt numFmtId="167" formatCode="0.0"/>
    <numFmt numFmtId="168" formatCode="0&quot; I.E.&quot;"/>
    <numFmt numFmtId="169" formatCode="0.0&quot; KE&quot;"/>
  </numFmts>
  <fonts count="30" x14ac:knownFonts="1">
    <font>
      <sz val="11"/>
      <color theme="1"/>
      <name val="Calibri"/>
      <family val="2"/>
      <charset val="1"/>
    </font>
    <font>
      <b/>
      <sz val="10"/>
      <color rgb="FF7FC2C6"/>
      <name val="Calibri"/>
      <charset val="1"/>
    </font>
    <font>
      <b/>
      <sz val="22"/>
      <color rgb="FFFFFFFF"/>
      <name val="Calibri"/>
      <charset val="1"/>
    </font>
    <font>
      <sz val="9"/>
      <color rgb="FF7FC2C6"/>
      <name val="Calibri"/>
      <charset val="1"/>
    </font>
    <font>
      <b/>
      <sz val="13"/>
      <color rgb="FF155E63"/>
      <name val="Calibri"/>
      <charset val="1"/>
    </font>
    <font>
      <i/>
      <sz val="9"/>
      <color rgb="FF6E8385"/>
      <name val="Calibri"/>
      <charset val="1"/>
    </font>
    <font>
      <sz val="10"/>
      <color rgb="FF6E8385"/>
      <name val="Calibri"/>
      <charset val="1"/>
    </font>
    <font>
      <b/>
      <sz val="11"/>
      <color rgb="FF1F5C61"/>
      <name val="Calibri"/>
      <charset val="1"/>
    </font>
    <font>
      <b/>
      <sz val="11"/>
      <color rgb="FF223133"/>
      <name val="Calibri"/>
      <charset val="1"/>
    </font>
    <font>
      <b/>
      <sz val="9"/>
      <color rgb="FF6E8385"/>
      <name val="Calibri"/>
      <charset val="1"/>
    </font>
    <font>
      <b/>
      <sz val="20"/>
      <color rgb="FF155E63"/>
      <name val="Calibri"/>
      <charset val="1"/>
    </font>
    <font>
      <sz val="9"/>
      <color rgb="FF2A9299"/>
      <name val="Calibri"/>
      <charset val="1"/>
    </font>
    <font>
      <b/>
      <sz val="9"/>
      <color rgb="FFFFFFFF"/>
      <name val="Calibri"/>
      <charset val="1"/>
    </font>
    <font>
      <sz val="9"/>
      <color rgb="FF223133"/>
      <name val="Calibri"/>
      <charset val="1"/>
    </font>
    <font>
      <sz val="9"/>
      <color rgb="FF6E8385"/>
      <name val="Calibri"/>
      <charset val="1"/>
    </font>
    <font>
      <b/>
      <sz val="9"/>
      <color rgb="FF2F6DB5"/>
      <name val="Calibri"/>
      <charset val="1"/>
    </font>
    <font>
      <b/>
      <sz val="9"/>
      <color rgb="FF223133"/>
      <name val="Calibri"/>
      <charset val="1"/>
    </font>
    <font>
      <b/>
      <sz val="9"/>
      <color rgb="FFDCE7F5"/>
      <name val="Calibri"/>
      <charset val="1"/>
    </font>
    <font>
      <b/>
      <sz val="9"/>
      <color rgb="FF2F8F5B"/>
      <name val="Calibri"/>
      <charset val="1"/>
    </font>
    <font>
      <b/>
      <sz val="9"/>
      <color rgb="FF8A6B12"/>
      <name val="Calibri"/>
      <charset val="1"/>
    </font>
    <font>
      <b/>
      <sz val="9"/>
      <color rgb="FFE4572E"/>
      <name val="Calibri"/>
      <charset val="1"/>
    </font>
    <font>
      <b/>
      <sz val="18"/>
      <color rgb="FF155E63"/>
      <name val="Calibri"/>
      <charset val="1"/>
    </font>
    <font>
      <i/>
      <sz val="10"/>
      <color rgb="FF6E8385"/>
      <name val="Calibri"/>
      <charset val="1"/>
    </font>
    <font>
      <sz val="9"/>
      <color rgb="FF1F5C61"/>
      <name val="Calibri"/>
      <charset val="1"/>
    </font>
    <font>
      <b/>
      <sz val="10"/>
      <color rgb="FF1F5C61"/>
      <name val="Calibri"/>
      <charset val="1"/>
    </font>
    <font>
      <sz val="10"/>
      <color rgb="FF223133"/>
      <name val="Calibri"/>
      <charset val="1"/>
    </font>
    <font>
      <b/>
      <sz val="10"/>
      <color rgb="FF155E63"/>
      <name val="Calibri"/>
      <charset val="1"/>
    </font>
    <font>
      <b/>
      <sz val="18"/>
      <color rgb="FFFFFFFF"/>
      <name val="Calibri"/>
      <charset val="1"/>
    </font>
    <font>
      <b/>
      <i/>
      <sz val="9"/>
      <color rgb="FF6E8385"/>
      <name val="Calibri"/>
      <charset val="1"/>
    </font>
    <font>
      <b/>
      <sz val="10"/>
      <color rgb="FF223133"/>
      <name val="Calibri"/>
      <charset val="1"/>
    </font>
  </fonts>
  <fills count="13">
    <fill>
      <patternFill patternType="none"/>
    </fill>
    <fill>
      <patternFill patternType="gray125"/>
    </fill>
    <fill>
      <patternFill patternType="solid">
        <fgColor rgb="FF0E3B3E"/>
        <bgColor rgb="FF223133"/>
      </patternFill>
    </fill>
    <fill>
      <patternFill patternType="solid">
        <fgColor rgb="FFE8F4F4"/>
        <bgColor rgb="FFF3FAFA"/>
      </patternFill>
    </fill>
    <fill>
      <patternFill patternType="solid">
        <fgColor rgb="FF2A9299"/>
        <bgColor rgb="FF2F8F5B"/>
      </patternFill>
    </fill>
    <fill>
      <patternFill patternType="solid">
        <fgColor rgb="FFE4572E"/>
        <bgColor rgb="FFC13F1C"/>
      </patternFill>
    </fill>
    <fill>
      <patternFill patternType="solid">
        <fgColor rgb="FF2F6DB5"/>
        <bgColor rgb="FF0066CC"/>
      </patternFill>
    </fill>
    <fill>
      <patternFill patternType="solid">
        <fgColor rgb="FFFFFFFF"/>
        <bgColor rgb="FFF3FAFA"/>
      </patternFill>
    </fill>
    <fill>
      <patternFill patternType="solid">
        <fgColor rgb="FF2F8F5B"/>
        <bgColor rgb="FF2A9299"/>
      </patternFill>
    </fill>
    <fill>
      <patternFill patternType="solid">
        <fgColor rgb="FFF3FAFA"/>
        <bgColor rgb="FFFFFFFF"/>
      </patternFill>
    </fill>
    <fill>
      <patternFill patternType="solid">
        <fgColor rgb="FF155E63"/>
        <bgColor rgb="FF1F5C61"/>
      </patternFill>
    </fill>
    <fill>
      <patternFill patternType="solid">
        <fgColor rgb="FF1F5C61"/>
        <bgColor rgb="FF155E63"/>
      </patternFill>
    </fill>
    <fill>
      <patternFill patternType="solid">
        <fgColor rgb="FFE0A82E"/>
        <bgColor rgb="FFFFCC00"/>
      </patternFill>
    </fill>
  </fills>
  <borders count="10">
    <border>
      <left/>
      <right/>
      <top/>
      <bottom/>
      <diagonal/>
    </border>
    <border>
      <left/>
      <right/>
      <top/>
      <bottom style="medium">
        <color rgb="FFE4572E"/>
      </bottom>
      <diagonal/>
    </border>
    <border>
      <left/>
      <right/>
      <top/>
      <bottom style="thin">
        <color rgb="FFD5E4E5"/>
      </bottom>
      <diagonal/>
    </border>
    <border>
      <left style="thin">
        <color rgb="FF7FC2C6"/>
      </left>
      <right style="thin">
        <color rgb="FF7FC2C6"/>
      </right>
      <top style="thin">
        <color rgb="FF7FC2C6"/>
      </top>
      <bottom style="thin">
        <color rgb="FF7FC2C6"/>
      </bottom>
      <diagonal/>
    </border>
    <border>
      <left style="thin">
        <color rgb="FFD5E4E5"/>
      </left>
      <right/>
      <top style="thin">
        <color rgb="FFD5E4E5"/>
      </top>
      <bottom/>
      <diagonal/>
    </border>
    <border>
      <left/>
      <right/>
      <top style="thin">
        <color rgb="FFD5E4E5"/>
      </top>
      <bottom/>
      <diagonal/>
    </border>
    <border>
      <left/>
      <right style="thin">
        <color rgb="FFD5E4E5"/>
      </right>
      <top style="thin">
        <color rgb="FFD5E4E5"/>
      </top>
      <bottom/>
      <diagonal/>
    </border>
    <border>
      <left style="thin">
        <color rgb="FFD5E4E5"/>
      </left>
      <right style="thin">
        <color rgb="FFD5E4E5"/>
      </right>
      <top/>
      <bottom/>
      <diagonal/>
    </border>
    <border>
      <left style="thin">
        <color rgb="FFD5E4E5"/>
      </left>
      <right style="thin">
        <color rgb="FFD5E4E5"/>
      </right>
      <top/>
      <bottom style="thin">
        <color rgb="FFD5E4E5"/>
      </bottom>
      <diagonal/>
    </border>
    <border>
      <left/>
      <right/>
      <top/>
      <bottom style="medium">
        <color rgb="FF155E63"/>
      </bottom>
      <diagonal/>
    </border>
  </borders>
  <cellStyleXfs count="1">
    <xf numFmtId="0" fontId="0" fillId="0" borderId="0"/>
  </cellStyleXfs>
  <cellXfs count="95">
    <xf numFmtId="0" fontId="0" fillId="0" borderId="0" xfId="0"/>
    <xf numFmtId="0" fontId="12" fillId="4" borderId="1" xfId="0" applyFont="1" applyFill="1" applyBorder="1" applyAlignment="1">
      <alignment horizontal="center" vertical="center" wrapText="1"/>
    </xf>
    <xf numFmtId="167" fontId="10" fillId="7" borderId="7" xfId="0" applyNumberFormat="1" applyFont="1" applyFill="1" applyBorder="1" applyAlignment="1">
      <alignment horizontal="left" vertical="center" indent="1"/>
    </xf>
    <xf numFmtId="166" fontId="10" fillId="7" borderId="7" xfId="0" applyNumberFormat="1" applyFont="1" applyFill="1" applyBorder="1" applyAlignment="1">
      <alignment horizontal="left" vertical="center" indent="1"/>
    </xf>
    <xf numFmtId="0" fontId="11" fillId="7" borderId="8" xfId="0" applyFont="1" applyFill="1" applyBorder="1" applyAlignment="1">
      <alignment horizontal="left" vertical="center" indent="1"/>
    </xf>
    <xf numFmtId="164" fontId="10" fillId="7" borderId="7" xfId="0" applyNumberFormat="1" applyFont="1" applyFill="1" applyBorder="1" applyAlignment="1">
      <alignment horizontal="left" vertical="center" indent="1"/>
    </xf>
    <xf numFmtId="1" fontId="10" fillId="7" borderId="7" xfId="0" applyNumberFormat="1" applyFont="1" applyFill="1" applyBorder="1" applyAlignment="1">
      <alignment horizontal="left" vertical="center" indent="1"/>
    </xf>
    <xf numFmtId="0" fontId="9" fillId="7" borderId="7" xfId="0" applyFont="1" applyFill="1" applyBorder="1" applyAlignment="1">
      <alignment horizontal="left" vertical="center" indent="1"/>
    </xf>
    <xf numFmtId="0" fontId="5" fillId="0" borderId="0" xfId="0" applyFont="1" applyAlignment="1">
      <alignment horizontal="left" vertical="center" indent="1"/>
    </xf>
    <xf numFmtId="0" fontId="8" fillId="0" borderId="2" xfId="0" applyFont="1" applyBorder="1" applyAlignment="1">
      <alignment horizontal="left" vertical="center" indent="1"/>
    </xf>
    <xf numFmtId="165" fontId="7" fillId="0" borderId="2" xfId="0" applyNumberFormat="1" applyFont="1" applyBorder="1" applyAlignment="1">
      <alignment horizontal="left" vertical="center" indent="1"/>
    </xf>
    <xf numFmtId="0" fontId="7" fillId="0" borderId="2" xfId="0" applyFont="1" applyBorder="1" applyAlignment="1">
      <alignment horizontal="left" vertical="center" indent="1"/>
    </xf>
    <xf numFmtId="0" fontId="3" fillId="2" borderId="1" xfId="0" applyFont="1" applyFill="1" applyBorder="1" applyAlignment="1">
      <alignment horizontal="left" vertical="center" indent="1"/>
    </xf>
    <xf numFmtId="0" fontId="2" fillId="2" borderId="0" xfId="0" applyFont="1" applyFill="1" applyAlignment="1">
      <alignment horizontal="left" vertical="center" indent="1"/>
    </xf>
    <xf numFmtId="0" fontId="1" fillId="2" borderId="0" xfId="0" applyFont="1" applyFill="1" applyAlignment="1">
      <alignment horizontal="left" vertical="center" indent="1"/>
    </xf>
    <xf numFmtId="0" fontId="4" fillId="0" borderId="1" xfId="0" applyFont="1" applyBorder="1" applyAlignment="1">
      <alignment horizontal="left"/>
    </xf>
    <xf numFmtId="0" fontId="0" fillId="0" borderId="1" xfId="0" applyBorder="1"/>
    <xf numFmtId="0" fontId="5" fillId="0" borderId="0" xfId="0" applyFont="1" applyAlignment="1">
      <alignment horizontal="left" vertical="center"/>
    </xf>
    <xf numFmtId="0" fontId="6" fillId="0" borderId="2" xfId="0" applyFont="1" applyBorder="1" applyAlignment="1">
      <alignment horizontal="left" vertical="center" indent="1"/>
    </xf>
    <xf numFmtId="0" fontId="0" fillId="0" borderId="2" xfId="0" applyBorder="1"/>
    <xf numFmtId="0" fontId="6" fillId="0" borderId="0" xfId="0" applyFont="1" applyAlignment="1">
      <alignment horizontal="left" vertical="center" indent="1"/>
    </xf>
    <xf numFmtId="164" fontId="7" fillId="3" borderId="3" xfId="0" applyNumberFormat="1" applyFont="1" applyFill="1" applyBorder="1" applyAlignment="1">
      <alignment horizontal="center" vertical="center"/>
    </xf>
    <xf numFmtId="0" fontId="0" fillId="4" borderId="4" xfId="0" applyFill="1" applyBorder="1"/>
    <xf numFmtId="0" fontId="0" fillId="4" borderId="5" xfId="0" applyFill="1" applyBorder="1"/>
    <xf numFmtId="0" fontId="0" fillId="4" borderId="6" xfId="0" applyFill="1" applyBorder="1"/>
    <xf numFmtId="0" fontId="0" fillId="5" borderId="4" xfId="0" applyFill="1" applyBorder="1"/>
    <xf numFmtId="0" fontId="0" fillId="5" borderId="5" xfId="0" applyFill="1" applyBorder="1"/>
    <xf numFmtId="0" fontId="0" fillId="5" borderId="6" xfId="0" applyFill="1" applyBorder="1"/>
    <xf numFmtId="0" fontId="0" fillId="6" borderId="4" xfId="0" applyFill="1" applyBorder="1"/>
    <xf numFmtId="0" fontId="0" fillId="6" borderId="5" xfId="0" applyFill="1" applyBorder="1"/>
    <xf numFmtId="0" fontId="0" fillId="6" borderId="6" xfId="0" applyFill="1" applyBorder="1"/>
    <xf numFmtId="0" fontId="0" fillId="8" borderId="4" xfId="0" applyFill="1" applyBorder="1"/>
    <xf numFmtId="0" fontId="0" fillId="8" borderId="5" xfId="0" applyFill="1" applyBorder="1"/>
    <xf numFmtId="0" fontId="0" fillId="8" borderId="6" xfId="0" applyFill="1" applyBorder="1"/>
    <xf numFmtId="0" fontId="12" fillId="4" borderId="1" xfId="0" applyFont="1" applyFill="1" applyBorder="1" applyAlignment="1">
      <alignment horizontal="left" vertical="center" indent="1"/>
    </xf>
    <xf numFmtId="0" fontId="13" fillId="7" borderId="2" xfId="0" applyFont="1" applyFill="1" applyBorder="1" applyAlignment="1">
      <alignment horizontal="left" vertical="center" indent="1"/>
    </xf>
    <xf numFmtId="164" fontId="13" fillId="7" borderId="2" xfId="0" applyNumberFormat="1" applyFont="1" applyFill="1" applyBorder="1" applyAlignment="1">
      <alignment horizontal="center" vertical="center"/>
    </xf>
    <xf numFmtId="1" fontId="14" fillId="7" borderId="2" xfId="0" applyNumberFormat="1" applyFont="1" applyFill="1" applyBorder="1" applyAlignment="1">
      <alignment horizontal="center" vertical="center"/>
    </xf>
    <xf numFmtId="0" fontId="15" fillId="7" borderId="2" xfId="0" applyFont="1" applyFill="1" applyBorder="1" applyAlignment="1">
      <alignment horizontal="left" vertical="center" indent="1"/>
    </xf>
    <xf numFmtId="0" fontId="16" fillId="7" borderId="2" xfId="0" applyFont="1" applyFill="1" applyBorder="1" applyAlignment="1">
      <alignment horizontal="center" vertical="center"/>
    </xf>
    <xf numFmtId="0" fontId="13" fillId="9" borderId="2" xfId="0" applyFont="1" applyFill="1" applyBorder="1" applyAlignment="1">
      <alignment horizontal="left" vertical="center" indent="1"/>
    </xf>
    <xf numFmtId="164" fontId="13" fillId="9" borderId="2" xfId="0" applyNumberFormat="1" applyFont="1" applyFill="1" applyBorder="1" applyAlignment="1">
      <alignment horizontal="center" vertical="center"/>
    </xf>
    <xf numFmtId="1" fontId="14" fillId="9" borderId="2" xfId="0" applyNumberFormat="1" applyFont="1" applyFill="1" applyBorder="1" applyAlignment="1">
      <alignment horizontal="center" vertical="center"/>
    </xf>
    <xf numFmtId="0" fontId="17" fillId="9" borderId="2" xfId="0" applyFont="1" applyFill="1" applyBorder="1" applyAlignment="1">
      <alignment horizontal="left" vertical="center" indent="1"/>
    </xf>
    <xf numFmtId="0" fontId="16" fillId="9" borderId="2" xfId="0" applyFont="1" applyFill="1" applyBorder="1" applyAlignment="1">
      <alignment horizontal="center" vertical="center"/>
    </xf>
    <xf numFmtId="0" fontId="18" fillId="7" borderId="2" xfId="0" applyFont="1" applyFill="1" applyBorder="1" applyAlignment="1">
      <alignment horizontal="left" vertical="center" indent="1"/>
    </xf>
    <xf numFmtId="0" fontId="19" fillId="9" borderId="2" xfId="0" applyFont="1" applyFill="1" applyBorder="1" applyAlignment="1">
      <alignment horizontal="left" vertical="center" indent="1"/>
    </xf>
    <xf numFmtId="0" fontId="20" fillId="7" borderId="2" xfId="0" applyFont="1" applyFill="1" applyBorder="1" applyAlignment="1">
      <alignment horizontal="left" vertical="center" indent="1"/>
    </xf>
    <xf numFmtId="0" fontId="12" fillId="10" borderId="1" xfId="0" applyFont="1" applyFill="1" applyBorder="1" applyAlignment="1">
      <alignment horizontal="center" vertical="center" wrapText="1"/>
    </xf>
    <xf numFmtId="165" fontId="23" fillId="7" borderId="2" xfId="0" applyNumberFormat="1" applyFont="1" applyFill="1" applyBorder="1" applyAlignment="1">
      <alignment horizontal="center" vertical="center"/>
    </xf>
    <xf numFmtId="0" fontId="23" fillId="7" borderId="2" xfId="0" applyFont="1" applyFill="1" applyBorder="1" applyAlignment="1">
      <alignment horizontal="center" vertical="center"/>
    </xf>
    <xf numFmtId="164" fontId="24" fillId="7" borderId="2" xfId="0" applyNumberFormat="1" applyFont="1" applyFill="1" applyBorder="1" applyAlignment="1">
      <alignment horizontal="center" vertical="center"/>
    </xf>
    <xf numFmtId="168" fontId="23" fillId="7" borderId="2" xfId="0" applyNumberFormat="1" applyFont="1" applyFill="1" applyBorder="1" applyAlignment="1">
      <alignment horizontal="center" vertical="center"/>
    </xf>
    <xf numFmtId="0" fontId="23" fillId="7" borderId="2" xfId="0" applyFont="1" applyFill="1" applyBorder="1" applyAlignment="1">
      <alignment horizontal="left" vertical="center" indent="1"/>
    </xf>
    <xf numFmtId="165" fontId="23" fillId="9" borderId="2" xfId="0" applyNumberFormat="1" applyFont="1" applyFill="1" applyBorder="1" applyAlignment="1">
      <alignment horizontal="center" vertical="center"/>
    </xf>
    <xf numFmtId="0" fontId="23" fillId="9" borderId="2" xfId="0" applyFont="1" applyFill="1" applyBorder="1" applyAlignment="1">
      <alignment horizontal="center" vertical="center"/>
    </xf>
    <xf numFmtId="164" fontId="24" fillId="9" borderId="2" xfId="0" applyNumberFormat="1" applyFont="1" applyFill="1" applyBorder="1" applyAlignment="1">
      <alignment horizontal="center" vertical="center"/>
    </xf>
    <xf numFmtId="169" fontId="23" fillId="9" borderId="2" xfId="0" applyNumberFormat="1" applyFont="1" applyFill="1" applyBorder="1" applyAlignment="1">
      <alignment horizontal="center" vertical="center"/>
    </xf>
    <xf numFmtId="0" fontId="23" fillId="9" borderId="2" xfId="0" applyFont="1" applyFill="1" applyBorder="1" applyAlignment="1">
      <alignment horizontal="left" vertical="center" indent="1"/>
    </xf>
    <xf numFmtId="169" fontId="23" fillId="7" borderId="2" xfId="0" applyNumberFormat="1" applyFont="1" applyFill="1" applyBorder="1" applyAlignment="1">
      <alignment horizontal="center" vertical="center"/>
    </xf>
    <xf numFmtId="168" fontId="23" fillId="9" borderId="2" xfId="0" applyNumberFormat="1" applyFont="1" applyFill="1" applyBorder="1" applyAlignment="1">
      <alignment horizontal="center" vertical="center"/>
    </xf>
    <xf numFmtId="0" fontId="25" fillId="7" borderId="2" xfId="0" applyFont="1" applyFill="1" applyBorder="1" applyAlignment="1">
      <alignment horizontal="left" vertical="center" indent="1"/>
    </xf>
    <xf numFmtId="164" fontId="25" fillId="7" borderId="2" xfId="0" applyNumberFormat="1" applyFont="1" applyFill="1" applyBorder="1" applyAlignment="1">
      <alignment horizontal="center" vertical="center"/>
    </xf>
    <xf numFmtId="1" fontId="25" fillId="7" borderId="2" xfId="0" applyNumberFormat="1" applyFont="1" applyFill="1" applyBorder="1" applyAlignment="1">
      <alignment horizontal="center" vertical="center"/>
    </xf>
    <xf numFmtId="166" fontId="25" fillId="7" borderId="2" xfId="0" applyNumberFormat="1" applyFont="1" applyFill="1" applyBorder="1" applyAlignment="1">
      <alignment horizontal="center" vertical="center"/>
    </xf>
    <xf numFmtId="0" fontId="25" fillId="9" borderId="2" xfId="0" applyFont="1" applyFill="1" applyBorder="1" applyAlignment="1">
      <alignment horizontal="left" vertical="center" indent="1"/>
    </xf>
    <xf numFmtId="164" fontId="25" fillId="9" borderId="2" xfId="0" applyNumberFormat="1" applyFont="1" applyFill="1" applyBorder="1" applyAlignment="1">
      <alignment horizontal="center" vertical="center"/>
    </xf>
    <xf numFmtId="1" fontId="25" fillId="9" borderId="2" xfId="0" applyNumberFormat="1" applyFont="1" applyFill="1" applyBorder="1" applyAlignment="1">
      <alignment horizontal="center" vertical="center"/>
    </xf>
    <xf numFmtId="166" fontId="25" fillId="9" borderId="2" xfId="0" applyNumberFormat="1" applyFont="1" applyFill="1" applyBorder="1" applyAlignment="1">
      <alignment horizontal="center" vertical="center"/>
    </xf>
    <xf numFmtId="0" fontId="26" fillId="0" borderId="9" xfId="0" applyFont="1" applyBorder="1" applyAlignment="1">
      <alignment horizontal="left" vertical="center" indent="1"/>
    </xf>
    <xf numFmtId="164" fontId="26" fillId="0" borderId="9" xfId="0" applyNumberFormat="1" applyFont="1" applyBorder="1" applyAlignment="1">
      <alignment horizontal="center" vertical="center"/>
    </xf>
    <xf numFmtId="1" fontId="26" fillId="0" borderId="9" xfId="0" applyNumberFormat="1" applyFont="1" applyBorder="1" applyAlignment="1">
      <alignment horizontal="center" vertical="center"/>
    </xf>
    <xf numFmtId="166" fontId="26" fillId="0" borderId="9" xfId="0" applyNumberFormat="1" applyFont="1" applyBorder="1" applyAlignment="1">
      <alignment horizontal="center" vertical="center"/>
    </xf>
    <xf numFmtId="0" fontId="26" fillId="7" borderId="2" xfId="0" applyFont="1" applyFill="1" applyBorder="1" applyAlignment="1">
      <alignment horizontal="left" vertical="center" indent="1"/>
    </xf>
    <xf numFmtId="0" fontId="25" fillId="7" borderId="2" xfId="0" applyFont="1" applyFill="1" applyBorder="1" applyAlignment="1">
      <alignment horizontal="left" vertical="top" wrapText="1"/>
    </xf>
    <xf numFmtId="0" fontId="26" fillId="9" borderId="2" xfId="0" applyFont="1" applyFill="1" applyBorder="1" applyAlignment="1">
      <alignment horizontal="left" vertical="center" indent="1"/>
    </xf>
    <xf numFmtId="0" fontId="25" fillId="9" borderId="2" xfId="0" applyFont="1" applyFill="1" applyBorder="1" applyAlignment="1">
      <alignment horizontal="left" vertical="top" wrapText="1"/>
    </xf>
    <xf numFmtId="0" fontId="12" fillId="11" borderId="2"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2" fillId="12" borderId="2"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9" fillId="0" borderId="0" xfId="0" applyFont="1"/>
    <xf numFmtId="0" fontId="29" fillId="0" borderId="0" xfId="0" applyFont="1"/>
    <xf numFmtId="0" fontId="16" fillId="7" borderId="2" xfId="0" applyFont="1" applyFill="1" applyBorder="1" applyAlignment="1">
      <alignment horizontal="center" vertical="center"/>
    </xf>
    <xf numFmtId="166" fontId="14" fillId="7" borderId="2" xfId="0" applyNumberFormat="1" applyFont="1" applyFill="1" applyBorder="1" applyAlignment="1">
      <alignment horizontal="center" vertical="center"/>
    </xf>
    <xf numFmtId="0" fontId="16" fillId="9" borderId="2" xfId="0" applyFont="1" applyFill="1" applyBorder="1" applyAlignment="1">
      <alignment horizontal="center" vertical="center"/>
    </xf>
    <xf numFmtId="166" fontId="14" fillId="9" borderId="2" xfId="0" applyNumberFormat="1" applyFont="1" applyFill="1" applyBorder="1" applyAlignment="1">
      <alignment horizontal="center" vertical="center"/>
    </xf>
    <xf numFmtId="0" fontId="5" fillId="0" borderId="0" xfId="0" applyFont="1" applyAlignment="1">
      <alignment horizontal="left" vertical="top" wrapText="1"/>
    </xf>
    <xf numFmtId="0" fontId="21" fillId="0" borderId="0" xfId="0" applyFont="1" applyAlignment="1">
      <alignment horizontal="left" vertical="center"/>
    </xf>
    <xf numFmtId="0" fontId="22" fillId="0" borderId="0" xfId="0" applyFont="1" applyAlignment="1">
      <alignment horizontal="left" vertical="center"/>
    </xf>
    <xf numFmtId="0" fontId="27" fillId="2" borderId="0" xfId="0" applyFont="1" applyFill="1" applyAlignment="1">
      <alignment horizontal="left" vertical="center" indent="1"/>
    </xf>
    <xf numFmtId="0" fontId="22" fillId="0" borderId="0" xfId="0" applyFont="1"/>
    <xf numFmtId="0" fontId="25" fillId="0" borderId="0" xfId="0" applyFont="1" applyAlignment="1">
      <alignment horizontal="left" vertical="top" wrapText="1"/>
    </xf>
    <xf numFmtId="0" fontId="28" fillId="0" borderId="0" xfId="0" applyFont="1" applyAlignment="1">
      <alignment horizontal="left" vertical="top" wrapText="1"/>
    </xf>
  </cellXfs>
  <cellStyles count="1">
    <cellStyle name="Standard" xfId="0" builtinId="0"/>
  </cellStyles>
  <dxfs count="7">
    <dxf>
      <font>
        <b/>
        <sz val="9"/>
        <color rgb="FFC13F1C"/>
        <name val="Calibri"/>
        <charset val="1"/>
      </font>
      <fill>
        <patternFill>
          <bgColor rgb="FFFBE3DB"/>
        </patternFill>
      </fill>
    </dxf>
    <dxf>
      <font>
        <b/>
        <sz val="9"/>
        <color rgb="FF8A6B12"/>
        <name val="Calibri"/>
        <charset val="1"/>
      </font>
      <fill>
        <patternFill>
          <bgColor rgb="FFFBEFD1"/>
        </patternFill>
      </fill>
    </dxf>
    <dxf>
      <font>
        <b/>
        <sz val="9"/>
        <color rgb="FF2F8F5B"/>
        <name val="Calibri"/>
        <charset val="1"/>
      </font>
      <fill>
        <patternFill>
          <bgColor rgb="FFDBEFE3"/>
        </patternFill>
      </fill>
    </dxf>
    <dxf>
      <font>
        <b/>
        <sz val="9"/>
        <color rgb="FF2F6DB5"/>
        <name val="Calibri"/>
        <charset val="1"/>
      </font>
      <fill>
        <patternFill>
          <bgColor rgb="FFDCE7F5"/>
        </patternFill>
      </fill>
    </dxf>
    <dxf>
      <font>
        <b/>
        <sz val="9"/>
        <color rgb="FFFFFFFF"/>
        <name val="Calibri"/>
        <charset val="1"/>
      </font>
      <fill>
        <patternFill>
          <bgColor rgb="FF2F6DB5"/>
        </patternFill>
      </fill>
    </dxf>
    <dxf>
      <font>
        <b/>
        <sz val="10"/>
        <color rgb="FFC13F1C"/>
        <name val="Calibri"/>
        <charset val="1"/>
      </font>
      <fill>
        <patternFill>
          <bgColor rgb="FFFBE3DB"/>
        </patternFill>
      </fill>
    </dxf>
    <dxf>
      <font>
        <b/>
        <sz val="10"/>
        <color rgb="FF2F6DB5"/>
        <name val="Calibri"/>
        <charset val="1"/>
      </font>
      <fill>
        <patternFill>
          <bgColor rgb="FFDCE7F5"/>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6B12"/>
      <rgbColor rgb="FF800080"/>
      <rgbColor rgb="FF2A9299"/>
      <rgbColor rgb="FFC9C9C9"/>
      <rgbColor rgb="FF878787"/>
      <rgbColor rgb="FF9999FF"/>
      <rgbColor rgb="FF993366"/>
      <rgbColor rgb="FFFBEFD1"/>
      <rgbColor rgb="FFE8F4F4"/>
      <rgbColor rgb="FF660066"/>
      <rgbColor rgb="FFFF8080"/>
      <rgbColor rgb="FF0066CC"/>
      <rgbColor rgb="FFD9D9D9"/>
      <rgbColor rgb="FF000080"/>
      <rgbColor rgb="FFFF00FF"/>
      <rgbColor rgb="FFFFFF00"/>
      <rgbColor rgb="FF00FFFF"/>
      <rgbColor rgb="FF800080"/>
      <rgbColor rgb="FF800000"/>
      <rgbColor rgb="FF155E63"/>
      <rgbColor rgb="FF0000FF"/>
      <rgbColor rgb="FF00CCFF"/>
      <rgbColor rgb="FFDCE7F5"/>
      <rgbColor rgb="FFDBEFE3"/>
      <rgbColor rgb="FFF3FAFA"/>
      <rgbColor rgb="FF7FC2C6"/>
      <rgbColor rgb="FFFF99CC"/>
      <rgbColor rgb="FFD5E4E5"/>
      <rgbColor rgb="FFFBE3DB"/>
      <rgbColor rgb="FF2F6DB5"/>
      <rgbColor rgb="FF33CCCC"/>
      <rgbColor rgb="FF99CC00"/>
      <rgbColor rgb="FFFFCC00"/>
      <rgbColor rgb="FFE0A82E"/>
      <rgbColor rgb="FFE4572E"/>
      <rgbColor rgb="FF6E8385"/>
      <rgbColor rgb="FF969696"/>
      <rgbColor rgb="FF0E3B3E"/>
      <rgbColor rgb="FF2F8F5B"/>
      <rgbColor rgb="FF003300"/>
      <rgbColor rgb="FF333300"/>
      <rgbColor rgb="FFC13F1C"/>
      <rgbColor rgb="FF993366"/>
      <rgbColor rgb="FF1F5C61"/>
      <rgbColor rgb="FF2231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autoTitleDeleted val="1"/>
    <c:plotArea>
      <c:layout/>
      <c:lineChart>
        <c:grouping val="standard"/>
        <c:varyColors val="0"/>
        <c:ser>
          <c:idx val="0"/>
          <c:order val="0"/>
          <c:spPr>
            <a:ln w="24120">
              <a:solidFill>
                <a:srgbClr val="2A9299"/>
              </a:solidFill>
              <a:round/>
            </a:ln>
          </c:spPr>
          <c:marker>
            <c:symbol val="circle"/>
            <c:size val="5"/>
            <c:spPr>
              <a:solidFill>
                <a:srgbClr val="2A9299"/>
              </a:solidFill>
            </c:spPr>
          </c:marker>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Tagebuch!$B$6:$B$53</c:f>
              <c:numCache>
                <c:formatCode>dd\.mm\.yyyy</c:formatCode>
                <c:ptCount val="48"/>
                <c:pt idx="0">
                  <c:v>46027</c:v>
                </c:pt>
                <c:pt idx="1">
                  <c:v>46027</c:v>
                </c:pt>
                <c:pt idx="2">
                  <c:v>46027</c:v>
                </c:pt>
                <c:pt idx="3">
                  <c:v>46027</c:v>
                </c:pt>
                <c:pt idx="4">
                  <c:v>46027</c:v>
                </c:pt>
                <c:pt idx="5">
                  <c:v>46027</c:v>
                </c:pt>
                <c:pt idx="6">
                  <c:v>46028</c:v>
                </c:pt>
                <c:pt idx="7">
                  <c:v>46028</c:v>
                </c:pt>
                <c:pt idx="8">
                  <c:v>46028</c:v>
                </c:pt>
                <c:pt idx="9">
                  <c:v>46028</c:v>
                </c:pt>
                <c:pt idx="10">
                  <c:v>46028</c:v>
                </c:pt>
                <c:pt idx="11">
                  <c:v>46029</c:v>
                </c:pt>
                <c:pt idx="12">
                  <c:v>46029</c:v>
                </c:pt>
                <c:pt idx="13">
                  <c:v>46029</c:v>
                </c:pt>
                <c:pt idx="14">
                  <c:v>46029</c:v>
                </c:pt>
                <c:pt idx="15">
                  <c:v>46029</c:v>
                </c:pt>
                <c:pt idx="16">
                  <c:v>46030</c:v>
                </c:pt>
                <c:pt idx="17">
                  <c:v>46030</c:v>
                </c:pt>
                <c:pt idx="18">
                  <c:v>46030</c:v>
                </c:pt>
                <c:pt idx="19">
                  <c:v>46030</c:v>
                </c:pt>
                <c:pt idx="20">
                  <c:v>46031</c:v>
                </c:pt>
                <c:pt idx="21">
                  <c:v>46031</c:v>
                </c:pt>
                <c:pt idx="22">
                  <c:v>46031</c:v>
                </c:pt>
                <c:pt idx="23">
                  <c:v>46031</c:v>
                </c:pt>
                <c:pt idx="24">
                  <c:v>46032</c:v>
                </c:pt>
                <c:pt idx="25">
                  <c:v>46032</c:v>
                </c:pt>
                <c:pt idx="26">
                  <c:v>46032</c:v>
                </c:pt>
                <c:pt idx="27">
                  <c:v>46032</c:v>
                </c:pt>
                <c:pt idx="28">
                  <c:v>46033</c:v>
                </c:pt>
                <c:pt idx="29">
                  <c:v>46033</c:v>
                </c:pt>
                <c:pt idx="30">
                  <c:v>46033</c:v>
                </c:pt>
                <c:pt idx="31">
                  <c:v>46033</c:v>
                </c:pt>
                <c:pt idx="32">
                  <c:v>46033</c:v>
                </c:pt>
                <c:pt idx="33">
                  <c:v>46034</c:v>
                </c:pt>
                <c:pt idx="34">
                  <c:v>46034</c:v>
                </c:pt>
                <c:pt idx="35">
                  <c:v>46034</c:v>
                </c:pt>
                <c:pt idx="36">
                  <c:v>46035</c:v>
                </c:pt>
                <c:pt idx="37">
                  <c:v>46035</c:v>
                </c:pt>
                <c:pt idx="38">
                  <c:v>46035</c:v>
                </c:pt>
                <c:pt idx="39">
                  <c:v>46036</c:v>
                </c:pt>
                <c:pt idx="40">
                  <c:v>46036</c:v>
                </c:pt>
                <c:pt idx="41">
                  <c:v>46036</c:v>
                </c:pt>
                <c:pt idx="42">
                  <c:v>46037</c:v>
                </c:pt>
                <c:pt idx="43">
                  <c:v>46037</c:v>
                </c:pt>
                <c:pt idx="44">
                  <c:v>46037</c:v>
                </c:pt>
                <c:pt idx="45">
                  <c:v>46038</c:v>
                </c:pt>
                <c:pt idx="46">
                  <c:v>46038</c:v>
                </c:pt>
                <c:pt idx="47">
                  <c:v>46038</c:v>
                </c:pt>
              </c:numCache>
            </c:numRef>
          </c:cat>
          <c:val>
            <c:numRef>
              <c:f>Tagebuch!$E$6:$E$53</c:f>
              <c:numCache>
                <c:formatCode>General</c:formatCode>
                <c:ptCount val="48"/>
                <c:pt idx="0">
                  <c:v>98</c:v>
                </c:pt>
                <c:pt idx="1">
                  <c:v>142</c:v>
                </c:pt>
                <c:pt idx="2">
                  <c:v>104</c:v>
                </c:pt>
                <c:pt idx="3">
                  <c:v>158</c:v>
                </c:pt>
                <c:pt idx="4">
                  <c:v>96</c:v>
                </c:pt>
                <c:pt idx="5">
                  <c:v>118</c:v>
                </c:pt>
                <c:pt idx="6">
                  <c:v>112</c:v>
                </c:pt>
                <c:pt idx="7">
                  <c:v>165</c:v>
                </c:pt>
                <c:pt idx="8">
                  <c:v>149</c:v>
                </c:pt>
                <c:pt idx="9">
                  <c:v>88</c:v>
                </c:pt>
                <c:pt idx="10">
                  <c:v>103</c:v>
                </c:pt>
                <c:pt idx="11">
                  <c:v>64</c:v>
                </c:pt>
                <c:pt idx="12">
                  <c:v>128</c:v>
                </c:pt>
                <c:pt idx="13">
                  <c:v>92</c:v>
                </c:pt>
                <c:pt idx="14">
                  <c:v>176</c:v>
                </c:pt>
                <c:pt idx="15">
                  <c:v>121</c:v>
                </c:pt>
                <c:pt idx="16">
                  <c:v>101</c:v>
                </c:pt>
                <c:pt idx="17">
                  <c:v>138</c:v>
                </c:pt>
                <c:pt idx="18">
                  <c:v>99</c:v>
                </c:pt>
                <c:pt idx="19">
                  <c:v>95</c:v>
                </c:pt>
                <c:pt idx="20">
                  <c:v>108</c:v>
                </c:pt>
                <c:pt idx="21">
                  <c:v>152</c:v>
                </c:pt>
                <c:pt idx="22">
                  <c:v>161</c:v>
                </c:pt>
                <c:pt idx="23">
                  <c:v>112</c:v>
                </c:pt>
                <c:pt idx="24">
                  <c:v>95</c:v>
                </c:pt>
                <c:pt idx="25">
                  <c:v>88</c:v>
                </c:pt>
                <c:pt idx="26">
                  <c:v>147</c:v>
                </c:pt>
                <c:pt idx="27">
                  <c:v>124</c:v>
                </c:pt>
                <c:pt idx="28">
                  <c:v>118</c:v>
                </c:pt>
                <c:pt idx="29">
                  <c:v>183</c:v>
                </c:pt>
                <c:pt idx="30">
                  <c:v>142</c:v>
                </c:pt>
                <c:pt idx="31">
                  <c:v>91</c:v>
                </c:pt>
                <c:pt idx="32">
                  <c:v>107</c:v>
                </c:pt>
                <c:pt idx="33">
                  <c:v>103</c:v>
                </c:pt>
                <c:pt idx="34">
                  <c:v>134</c:v>
                </c:pt>
                <c:pt idx="35">
                  <c:v>99</c:v>
                </c:pt>
                <c:pt idx="36">
                  <c:v>89</c:v>
                </c:pt>
                <c:pt idx="37">
                  <c:v>145</c:v>
                </c:pt>
                <c:pt idx="38">
                  <c:v>168</c:v>
                </c:pt>
                <c:pt idx="39">
                  <c:v>126</c:v>
                </c:pt>
                <c:pt idx="40">
                  <c:v>157</c:v>
                </c:pt>
                <c:pt idx="41">
                  <c:v>133</c:v>
                </c:pt>
                <c:pt idx="42">
                  <c:v>97</c:v>
                </c:pt>
                <c:pt idx="43">
                  <c:v>139</c:v>
                </c:pt>
                <c:pt idx="44">
                  <c:v>84</c:v>
                </c:pt>
                <c:pt idx="45">
                  <c:v>110</c:v>
                </c:pt>
                <c:pt idx="46">
                  <c:v>151</c:v>
                </c:pt>
                <c:pt idx="47">
                  <c:v>118</c:v>
                </c:pt>
              </c:numCache>
            </c:numRef>
          </c:val>
          <c:smooth val="0"/>
          <c:extLst>
            <c:ext xmlns:c16="http://schemas.microsoft.com/office/drawing/2014/chart" uri="{C3380CC4-5D6E-409C-BE32-E72D297353CC}">
              <c16:uniqueId val="{00000000-ABF6-4EBD-B17D-E4727CAB9B54}"/>
            </c:ext>
          </c:extLst>
        </c:ser>
        <c:dLbls>
          <c:showLegendKey val="0"/>
          <c:showVal val="0"/>
          <c:showCatName val="0"/>
          <c:showSerName val="0"/>
          <c:showPercent val="0"/>
          <c:showBubbleSize val="0"/>
        </c:dLbls>
        <c:hiLowLines>
          <c:spPr>
            <a:ln w="0">
              <a:noFill/>
            </a:ln>
          </c:spPr>
        </c:hiLowLines>
        <c:marker val="1"/>
        <c:smooth val="0"/>
        <c:axId val="68858201"/>
        <c:axId val="8906181"/>
      </c:lineChart>
      <c:dateAx>
        <c:axId val="68858201"/>
        <c:scaling>
          <c:orientation val="minMax"/>
        </c:scaling>
        <c:delete val="0"/>
        <c:axPos val="b"/>
        <c:numFmt formatCode="dd\.mm"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8906181"/>
        <c:crosses val="autoZero"/>
        <c:auto val="1"/>
        <c:lblOffset val="100"/>
        <c:baseTimeUnit val="days"/>
      </c:dateAx>
      <c:valAx>
        <c:axId val="8906181"/>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de-DE" sz="1000" b="1" strike="noStrike" spc="-1">
                    <a:solidFill>
                      <a:srgbClr val="000000"/>
                    </a:solidFill>
                    <a:latin typeface="Calibri"/>
                  </a:rPr>
                  <a:t>mg/dl</a:t>
                </a:r>
              </a:p>
            </c:rich>
          </c:tx>
          <c:overlay val="0"/>
          <c:spPr>
            <a:noFill/>
            <a:ln w="0">
              <a:noFill/>
            </a:ln>
          </c:spPr>
        </c:title>
        <c:numFmt formatCode="0" sourceLinked="0"/>
        <c:majorTickMark val="out"/>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68858201"/>
        <c:crosses val="autoZero"/>
        <c:crossBetween val="between"/>
      </c:valAx>
      <c:spPr>
        <a:noFill/>
        <a:ln w="0">
          <a:noFill/>
        </a:ln>
      </c:spPr>
    </c:plotArea>
    <c:plotVisOnly val="1"/>
    <c:dispBlanksAs val="gap"/>
    <c:showDLblsOverMax val="1"/>
  </c:chart>
  <c:spPr>
    <a:solidFill>
      <a:schemeClr val="bg2"/>
    </a:solidFill>
    <a:ln w="9360">
      <a:solidFill>
        <a:srgbClr val="D9D9D9"/>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autoTitleDeleted val="1"/>
    <c:plotArea>
      <c:layout/>
      <c:barChart>
        <c:barDir val="col"/>
        <c:grouping val="clustered"/>
        <c:varyColors val="0"/>
        <c:ser>
          <c:idx val="0"/>
          <c:order val="0"/>
          <c:spPr>
            <a:solidFill>
              <a:srgbClr val="2A9299"/>
            </a:solidFill>
            <a:ln w="0">
              <a:solidFill>
                <a:srgbClr val="2A9299"/>
              </a:solid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Monatswerte!$B$6:$B$17</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Monatswerte!$C$6:$C$17</c:f>
              <c:numCache>
                <c:formatCode>General</c:formatCode>
                <c:ptCount val="12"/>
                <c:pt idx="0">
                  <c:v>121.41666666666667</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791-4FD7-82FB-7A59E744CF02}"/>
            </c:ext>
          </c:extLst>
        </c:ser>
        <c:dLbls>
          <c:showLegendKey val="0"/>
          <c:showVal val="0"/>
          <c:showCatName val="0"/>
          <c:showSerName val="0"/>
          <c:showPercent val="0"/>
          <c:showBubbleSize val="0"/>
        </c:dLbls>
        <c:gapWidth val="50"/>
        <c:axId val="51848916"/>
        <c:axId val="76013673"/>
      </c:barChart>
      <c:catAx>
        <c:axId val="5184891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76013673"/>
        <c:crosses val="autoZero"/>
        <c:auto val="1"/>
        <c:lblAlgn val="ctr"/>
        <c:lblOffset val="100"/>
        <c:noMultiLvlLbl val="0"/>
      </c:catAx>
      <c:valAx>
        <c:axId val="76013673"/>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mg/dl</a:t>
                </a:r>
              </a:p>
            </c:rich>
          </c:tx>
          <c:overlay val="0"/>
          <c:spPr>
            <a:noFill/>
            <a:ln w="0">
              <a:noFill/>
            </a:ln>
          </c:spPr>
        </c:title>
        <c:numFmt formatCode="0" sourceLinked="0"/>
        <c:majorTickMark val="out"/>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51848916"/>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133349</xdr:colOff>
      <xdr:row>26</xdr:row>
      <xdr:rowOff>146520</xdr:rowOff>
    </xdr:from>
    <xdr:to>
      <xdr:col>13</xdr:col>
      <xdr:colOff>514349</xdr:colOff>
      <xdr:row>39</xdr:row>
      <xdr:rowOff>117720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20</xdr:row>
      <xdr:rowOff>0</xdr:rowOff>
    </xdr:from>
    <xdr:to>
      <xdr:col>7</xdr:col>
      <xdr:colOff>57960</xdr:colOff>
      <xdr:row>33</xdr:row>
      <xdr:rowOff>115200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3B3E"/>
    <pageSetUpPr fitToPage="1"/>
  </sheetPr>
  <dimension ref="B2:N56"/>
  <sheetViews>
    <sheetView showGridLines="0" tabSelected="1" topLeftCell="A26" zoomScaleNormal="100" workbookViewId="0">
      <selection activeCell="T65" sqref="T65"/>
    </sheetView>
  </sheetViews>
  <sheetFormatPr baseColWidth="10" defaultColWidth="8.7109375" defaultRowHeight="15" x14ac:dyDescent="0.25"/>
  <cols>
    <col min="1" max="1" width="2" customWidth="1"/>
    <col min="2" max="2" width="15" customWidth="1"/>
    <col min="3" max="3" width="12" customWidth="1"/>
    <col min="4" max="4" width="3" customWidth="1"/>
    <col min="5" max="5" width="13" customWidth="1"/>
    <col min="6" max="6" width="12" customWidth="1"/>
    <col min="7" max="7" width="3.42578125" customWidth="1"/>
    <col min="8" max="8" width="26" bestFit="1" customWidth="1"/>
    <col min="9" max="9" width="13" customWidth="1"/>
    <col min="10" max="10" width="2" customWidth="1"/>
    <col min="11" max="11" width="12" customWidth="1"/>
    <col min="12" max="12" width="3" customWidth="1"/>
    <col min="13" max="14" width="12" customWidth="1"/>
  </cols>
  <sheetData>
    <row r="2" spans="2:14" ht="15.75" customHeight="1" x14ac:dyDescent="0.25">
      <c r="B2" s="14" t="s">
        <v>0</v>
      </c>
      <c r="C2" s="14"/>
      <c r="D2" s="14"/>
      <c r="E2" s="14"/>
      <c r="F2" s="14"/>
      <c r="G2" s="14"/>
      <c r="H2" s="14"/>
      <c r="I2" s="14"/>
      <c r="J2" s="14"/>
      <c r="K2" s="14"/>
      <c r="L2" s="14"/>
      <c r="M2" s="14"/>
      <c r="N2" s="14"/>
    </row>
    <row r="3" spans="2:14" ht="21.75" customHeight="1" x14ac:dyDescent="0.25">
      <c r="B3" s="13" t="s">
        <v>1</v>
      </c>
      <c r="C3" s="13"/>
      <c r="D3" s="13"/>
      <c r="E3" s="13"/>
      <c r="F3" s="13"/>
      <c r="G3" s="13"/>
      <c r="H3" s="13"/>
      <c r="I3" s="13"/>
      <c r="J3" s="13"/>
      <c r="K3" s="13"/>
      <c r="L3" s="13"/>
      <c r="M3" s="13"/>
      <c r="N3" s="13"/>
    </row>
    <row r="4" spans="2:14" ht="13.5" customHeight="1" x14ac:dyDescent="0.25">
      <c r="B4" s="13"/>
      <c r="C4" s="13"/>
      <c r="D4" s="13"/>
      <c r="E4" s="13"/>
      <c r="F4" s="13"/>
      <c r="G4" s="13"/>
      <c r="H4" s="13"/>
      <c r="I4" s="13"/>
      <c r="J4" s="13"/>
      <c r="K4" s="13"/>
      <c r="L4" s="13"/>
      <c r="M4" s="13"/>
      <c r="N4" s="13"/>
    </row>
    <row r="5" spans="2:14" ht="15.75" customHeight="1" x14ac:dyDescent="0.25">
      <c r="B5" s="12" t="str">
        <f ca="1">" Jahr 2026     |     Stand: "&amp;TEXT(TODAY(),"DD.MM.YYYY")&amp;"     |     Werte automatisch aus dem Tagebuch"</f>
        <v xml:space="preserve"> Jahr 2026     |     Stand: 30.09.YYYY     |     Werte automatisch aus dem Tagebuch</v>
      </c>
      <c r="C5" s="12"/>
      <c r="D5" s="12"/>
      <c r="E5" s="12"/>
      <c r="F5" s="12"/>
      <c r="G5" s="12"/>
      <c r="H5" s="12"/>
      <c r="I5" s="12"/>
      <c r="J5" s="12"/>
      <c r="K5" s="12"/>
      <c r="L5" s="12"/>
      <c r="M5" s="12"/>
      <c r="N5" s="12"/>
    </row>
    <row r="7" spans="2:14" ht="17.25" x14ac:dyDescent="0.3">
      <c r="B7" s="15" t="s">
        <v>2</v>
      </c>
      <c r="C7" s="16"/>
      <c r="D7" s="16"/>
      <c r="E7" s="16"/>
      <c r="F7" s="16"/>
      <c r="H7" s="15" t="s">
        <v>3</v>
      </c>
      <c r="I7" s="16"/>
      <c r="J7" s="16"/>
      <c r="K7" s="16"/>
      <c r="L7" s="16"/>
      <c r="M7" s="16"/>
      <c r="N7" s="16"/>
    </row>
    <row r="8" spans="2:14" x14ac:dyDescent="0.25">
      <c r="H8" s="17" t="s">
        <v>4</v>
      </c>
    </row>
    <row r="9" spans="2:14" x14ac:dyDescent="0.25">
      <c r="B9" s="18" t="s">
        <v>5</v>
      </c>
      <c r="C9" s="19"/>
      <c r="D9" s="11" t="s">
        <v>6</v>
      </c>
      <c r="E9" s="11"/>
      <c r="F9" s="11"/>
      <c r="H9" s="20" t="s">
        <v>7</v>
      </c>
      <c r="I9" s="21">
        <v>70</v>
      </c>
    </row>
    <row r="10" spans="2:14" x14ac:dyDescent="0.25">
      <c r="B10" s="18" t="s">
        <v>8</v>
      </c>
      <c r="C10" s="19"/>
      <c r="D10" s="10">
        <v>29020</v>
      </c>
      <c r="E10" s="10"/>
      <c r="F10" s="10"/>
      <c r="H10" s="20" t="s">
        <v>9</v>
      </c>
      <c r="I10" s="21">
        <v>140</v>
      </c>
    </row>
    <row r="11" spans="2:14" x14ac:dyDescent="0.25">
      <c r="B11" s="18" t="s">
        <v>10</v>
      </c>
      <c r="C11" s="19"/>
      <c r="D11" s="9" t="s">
        <v>11</v>
      </c>
      <c r="E11" s="9"/>
      <c r="F11" s="9"/>
      <c r="H11" s="20" t="s">
        <v>12</v>
      </c>
      <c r="I11" s="21">
        <v>70</v>
      </c>
    </row>
    <row r="12" spans="2:14" x14ac:dyDescent="0.25">
      <c r="B12" s="18" t="s">
        <v>13</v>
      </c>
      <c r="C12" s="19"/>
      <c r="D12" s="11" t="s">
        <v>14</v>
      </c>
      <c r="E12" s="11"/>
      <c r="F12" s="11"/>
      <c r="H12" s="20" t="s">
        <v>15</v>
      </c>
      <c r="I12" s="8" t="s">
        <v>16</v>
      </c>
      <c r="J12" s="8"/>
      <c r="K12" s="8"/>
      <c r="L12" s="8"/>
      <c r="M12" s="8"/>
      <c r="N12" s="8"/>
    </row>
    <row r="14" spans="2:14" ht="17.25" x14ac:dyDescent="0.3">
      <c r="B14" s="15" t="s">
        <v>17</v>
      </c>
      <c r="C14" s="16"/>
      <c r="D14" s="16"/>
      <c r="E14" s="16"/>
      <c r="F14" s="16"/>
      <c r="G14" s="16"/>
      <c r="H14" s="16"/>
      <c r="I14" s="16"/>
      <c r="J14" s="16"/>
      <c r="K14" s="16"/>
      <c r="L14" s="16"/>
      <c r="M14" s="16"/>
      <c r="N14" s="16"/>
    </row>
    <row r="16" spans="2:14" ht="3.75" customHeight="1" x14ac:dyDescent="0.25">
      <c r="B16" s="22"/>
      <c r="C16" s="23"/>
      <c r="D16" s="24"/>
      <c r="E16" s="22"/>
      <c r="F16" s="23"/>
      <c r="G16" s="24"/>
      <c r="H16" s="25"/>
      <c r="I16" s="26"/>
      <c r="J16" s="27"/>
      <c r="K16" s="28"/>
      <c r="L16" s="29"/>
      <c r="M16" s="30"/>
    </row>
    <row r="17" spans="2:14" ht="15" customHeight="1" x14ac:dyDescent="0.25">
      <c r="B17" s="7" t="s">
        <v>18</v>
      </c>
      <c r="C17" s="7"/>
      <c r="D17" s="7"/>
      <c r="E17" s="7" t="s">
        <v>19</v>
      </c>
      <c r="F17" s="7"/>
      <c r="G17" s="7"/>
      <c r="H17" s="7" t="s">
        <v>20</v>
      </c>
      <c r="I17" s="7"/>
      <c r="J17" s="7"/>
      <c r="K17" s="7" t="s">
        <v>21</v>
      </c>
      <c r="L17" s="7"/>
      <c r="M17" s="7"/>
    </row>
    <row r="18" spans="2:14" ht="27.75" customHeight="1" x14ac:dyDescent="0.25">
      <c r="B18" s="6">
        <f>COUNT(Tagebuch!$E$6:$E$71)</f>
        <v>48</v>
      </c>
      <c r="C18" s="6"/>
      <c r="D18" s="6"/>
      <c r="E18" s="5">
        <f>IFERROR(AVERAGE(Tagebuch!$E$6:$E$71),0)</f>
        <v>121.41666666666667</v>
      </c>
      <c r="F18" s="5"/>
      <c r="G18" s="5"/>
      <c r="H18" s="5">
        <f>IFERROR(MAX(Tagebuch!$E$6:$E$71),0)</f>
        <v>183</v>
      </c>
      <c r="I18" s="5"/>
      <c r="J18" s="5"/>
      <c r="K18" s="5">
        <f>IFERROR(MIN(Tagebuch!$E$6:$E$71),0)</f>
        <v>64</v>
      </c>
      <c r="L18" s="5"/>
      <c r="M18" s="5"/>
    </row>
    <row r="19" spans="2:14" ht="15" customHeight="1" x14ac:dyDescent="0.25">
      <c r="B19" s="4" t="s">
        <v>22</v>
      </c>
      <c r="C19" s="4"/>
      <c r="D19" s="4"/>
      <c r="E19" s="4" t="s">
        <v>23</v>
      </c>
      <c r="F19" s="4"/>
      <c r="G19" s="4"/>
      <c r="H19" s="4" t="s">
        <v>24</v>
      </c>
      <c r="I19" s="4"/>
      <c r="J19" s="4"/>
      <c r="K19" s="4" t="s">
        <v>25</v>
      </c>
      <c r="L19" s="4"/>
      <c r="M19" s="4"/>
    </row>
    <row r="21" spans="2:14" ht="3.75" customHeight="1" x14ac:dyDescent="0.25">
      <c r="B21" s="31"/>
      <c r="C21" s="32"/>
      <c r="D21" s="33"/>
      <c r="E21" s="28"/>
      <c r="F21" s="29"/>
      <c r="G21" s="30"/>
      <c r="H21" s="22"/>
      <c r="I21" s="23"/>
      <c r="J21" s="24"/>
      <c r="K21" s="22"/>
      <c r="L21" s="23"/>
      <c r="M21" s="24"/>
    </row>
    <row r="22" spans="2:14" ht="15" customHeight="1" x14ac:dyDescent="0.25">
      <c r="B22" s="7" t="s">
        <v>26</v>
      </c>
      <c r="C22" s="7"/>
      <c r="D22" s="7"/>
      <c r="E22" s="7" t="s">
        <v>27</v>
      </c>
      <c r="F22" s="7"/>
      <c r="G22" s="7"/>
      <c r="H22" s="7" t="s">
        <v>28</v>
      </c>
      <c r="I22" s="7"/>
      <c r="J22" s="7"/>
      <c r="K22" s="7" t="s">
        <v>29</v>
      </c>
      <c r="L22" s="7"/>
      <c r="M22" s="7"/>
    </row>
    <row r="23" spans="2:14" ht="27.75" customHeight="1" x14ac:dyDescent="0.25">
      <c r="B23" s="3">
        <f>IFERROR(SUMPRODUCT(--(Tagebuch!$E$6:$E$71&gt;=Uebersicht_Low),--(Tagebuch!$E$6:$E$71&lt;=Uebersicht_High),--(Tagebuch!$E$6:$E$71&lt;&gt;""))/COUNT(Tagebuch!$E$6:$E$71),0)</f>
        <v>0.6875</v>
      </c>
      <c r="C23" s="3"/>
      <c r="D23" s="3"/>
      <c r="E23" s="6">
        <f>SUMPRODUCT(--(Tagebuch!$E$6:$E$71&lt;&gt;""),--(Tagebuch!$E$6:$E$71&lt;Uebersicht_Hypo))</f>
        <v>1</v>
      </c>
      <c r="F23" s="6"/>
      <c r="G23" s="6"/>
      <c r="H23" s="2">
        <f>IFERROR((IFERROR(AVERAGE(Tagebuch!$E$6:$E$71),0)+46.7)/28.7,0)</f>
        <v>5.857723577235773</v>
      </c>
      <c r="I23" s="2"/>
      <c r="J23" s="2"/>
      <c r="K23" s="6">
        <f>IFERROR(SUMPRODUCT(((Tagebuch!$B$6:$B$71&lt;&gt;"")/COUNTIF(Tagebuch!$B$6:$B$71,Tagebuch!$B$6:$B$71&amp;""))),0)</f>
        <v>12.000000000000007</v>
      </c>
      <c r="L23" s="6"/>
      <c r="M23" s="6"/>
    </row>
    <row r="24" spans="2:14" ht="15" customHeight="1" x14ac:dyDescent="0.25">
      <c r="B24" s="4" t="s">
        <v>30</v>
      </c>
      <c r="C24" s="4"/>
      <c r="D24" s="4"/>
      <c r="E24" s="4" t="s">
        <v>31</v>
      </c>
      <c r="F24" s="4"/>
      <c r="G24" s="4"/>
      <c r="H24" s="4" t="s">
        <v>32</v>
      </c>
      <c r="I24" s="4"/>
      <c r="J24" s="4"/>
      <c r="K24" s="4" t="s">
        <v>33</v>
      </c>
      <c r="L24" s="4"/>
      <c r="M24" s="4"/>
    </row>
    <row r="26" spans="2:14" ht="17.25" x14ac:dyDescent="0.3">
      <c r="B26" s="15" t="s">
        <v>34</v>
      </c>
      <c r="C26" s="16"/>
      <c r="D26" s="16"/>
      <c r="E26" s="16"/>
      <c r="F26" s="16"/>
      <c r="G26" s="16"/>
      <c r="H26" s="16"/>
      <c r="I26" s="16"/>
      <c r="J26" s="16"/>
      <c r="K26" s="16"/>
      <c r="L26" s="16"/>
      <c r="M26" s="16"/>
      <c r="N26" s="16"/>
    </row>
    <row r="27" spans="2:14" x14ac:dyDescent="0.25">
      <c r="B27" s="17" t="s">
        <v>35</v>
      </c>
    </row>
    <row r="43" spans="2:14" ht="17.25" x14ac:dyDescent="0.3">
      <c r="B43" s="15" t="s">
        <v>36</v>
      </c>
      <c r="C43" s="16"/>
      <c r="D43" s="16"/>
      <c r="E43" s="16"/>
      <c r="F43" s="16"/>
      <c r="G43" s="16"/>
      <c r="I43" s="15" t="s">
        <v>37</v>
      </c>
      <c r="J43" s="16"/>
      <c r="K43" s="16"/>
      <c r="L43" s="16"/>
      <c r="M43" s="16"/>
      <c r="N43" s="16"/>
    </row>
    <row r="44" spans="2:14" x14ac:dyDescent="0.25">
      <c r="B44" s="17" t="s">
        <v>38</v>
      </c>
    </row>
    <row r="45" spans="2:14" ht="19.5" customHeight="1" x14ac:dyDescent="0.25">
      <c r="B45" s="34" t="s">
        <v>39</v>
      </c>
      <c r="C45" s="1" t="s">
        <v>40</v>
      </c>
      <c r="D45" s="1"/>
      <c r="I45" s="34" t="s">
        <v>41</v>
      </c>
      <c r="J45" s="1" t="s">
        <v>42</v>
      </c>
      <c r="K45" s="1"/>
      <c r="L45" s="1" t="s">
        <v>43</v>
      </c>
      <c r="M45" s="1"/>
      <c r="N45" s="1"/>
    </row>
    <row r="46" spans="2:14" x14ac:dyDescent="0.25">
      <c r="B46" s="35" t="s">
        <v>44</v>
      </c>
      <c r="C46" s="36">
        <f>IFERROR(AVERAGEIF(Tagebuch!$D$6:$D$71,B46,Tagebuch!$E$6:$E$71),"–")</f>
        <v>101.75</v>
      </c>
      <c r="D46" s="37">
        <f>COUNTIF(Tagebuch!$D$6:$D$71,B46)</f>
        <v>12</v>
      </c>
      <c r="I46" s="38" t="s">
        <v>45</v>
      </c>
      <c r="J46" s="84">
        <f>COUNTIF(Tagebuch!$F$6:$F$71,I46)</f>
        <v>1</v>
      </c>
      <c r="K46" s="84"/>
      <c r="L46" s="85">
        <f>IFERROR(J46/MAX(1,COUNT(Tagebuch!$E$6:$E$71)),0)</f>
        <v>2.0833333333333332E-2</v>
      </c>
      <c r="M46" s="85"/>
      <c r="N46" s="85"/>
    </row>
    <row r="47" spans="2:14" x14ac:dyDescent="0.25">
      <c r="B47" s="40" t="s">
        <v>46</v>
      </c>
      <c r="C47" s="41" t="str">
        <f>IFERROR(AVERAGEIF(Tagebuch!$D$6:$D$71,B47,Tagebuch!$E$6:$E$71),"–")</f>
        <v>–</v>
      </c>
      <c r="D47" s="42">
        <f>COUNTIF(Tagebuch!$D$6:$D$71,B47)</f>
        <v>0</v>
      </c>
      <c r="I47" s="43" t="s">
        <v>47</v>
      </c>
      <c r="J47" s="86">
        <f>COUNTIF(Tagebuch!$F$6:$F$71,I47)</f>
        <v>0</v>
      </c>
      <c r="K47" s="86"/>
      <c r="L47" s="87">
        <f>IFERROR(J47/MAX(1,COUNT(Tagebuch!$E$6:$E$71)),0)</f>
        <v>0</v>
      </c>
      <c r="M47" s="87"/>
      <c r="N47" s="87"/>
    </row>
    <row r="48" spans="2:14" x14ac:dyDescent="0.25">
      <c r="B48" s="35" t="s">
        <v>48</v>
      </c>
      <c r="C48" s="36">
        <f>IFERROR(AVERAGEIF(Tagebuch!$D$6:$D$71,B48,Tagebuch!$E$6:$E$71),"–")</f>
        <v>150.57142857142858</v>
      </c>
      <c r="D48" s="37">
        <f>COUNTIF(Tagebuch!$D$6:$D$71,B48)</f>
        <v>7</v>
      </c>
      <c r="I48" s="45" t="s">
        <v>49</v>
      </c>
      <c r="J48" s="84">
        <f>COUNTIF(Tagebuch!$F$6:$F$71,I48)</f>
        <v>33</v>
      </c>
      <c r="K48" s="84"/>
      <c r="L48" s="85">
        <f>IFERROR(J48/MAX(1,COUNT(Tagebuch!$E$6:$E$71)),0)</f>
        <v>0.6875</v>
      </c>
      <c r="M48" s="85"/>
      <c r="N48" s="85"/>
    </row>
    <row r="49" spans="2:14" x14ac:dyDescent="0.25">
      <c r="B49" s="40" t="s">
        <v>50</v>
      </c>
      <c r="C49" s="41">
        <f>IFERROR(AVERAGEIF(Tagebuch!$D$6:$D$71,B49,Tagebuch!$E$6:$E$71),"–")</f>
        <v>94.666666666666671</v>
      </c>
      <c r="D49" s="42">
        <f>COUNTIF(Tagebuch!$D$6:$D$71,B49)</f>
        <v>3</v>
      </c>
      <c r="I49" s="46" t="s">
        <v>51</v>
      </c>
      <c r="J49" s="86">
        <f>COUNTIF(Tagebuch!$F$6:$F$71,I49)</f>
        <v>13</v>
      </c>
      <c r="K49" s="86"/>
      <c r="L49" s="87">
        <f>IFERROR(J49/MAX(1,COUNT(Tagebuch!$E$6:$E$71)),0)</f>
        <v>0.27083333333333331</v>
      </c>
      <c r="M49" s="87"/>
      <c r="N49" s="87"/>
    </row>
    <row r="50" spans="2:14" x14ac:dyDescent="0.25">
      <c r="B50" s="35" t="s">
        <v>52</v>
      </c>
      <c r="C50" s="36">
        <f>IFERROR(AVERAGEIF(Tagebuch!$D$6:$D$71,B50,Tagebuch!$E$6:$E$71),"–")</f>
        <v>148.75</v>
      </c>
      <c r="D50" s="37">
        <f>COUNTIF(Tagebuch!$D$6:$D$71,B50)</f>
        <v>8</v>
      </c>
      <c r="I50" s="47" t="s">
        <v>53</v>
      </c>
      <c r="J50" s="84">
        <f>COUNTIF(Tagebuch!$F$6:$F$71,I50)</f>
        <v>1</v>
      </c>
      <c r="K50" s="84"/>
      <c r="L50" s="85">
        <f>IFERROR(J50/MAX(1,COUNT(Tagebuch!$E$6:$E$71)),0)</f>
        <v>2.0833333333333332E-2</v>
      </c>
      <c r="M50" s="85"/>
      <c r="N50" s="85"/>
    </row>
    <row r="51" spans="2:14" x14ac:dyDescent="0.25">
      <c r="B51" s="40" t="s">
        <v>54</v>
      </c>
      <c r="C51" s="41">
        <f>IFERROR(AVERAGEIF(Tagebuch!$D$6:$D$71,B51,Tagebuch!$E$6:$E$71),"–")</f>
        <v>91.6</v>
      </c>
      <c r="D51" s="42">
        <f>COUNTIF(Tagebuch!$D$6:$D$71,B51)</f>
        <v>5</v>
      </c>
    </row>
    <row r="52" spans="2:14" x14ac:dyDescent="0.25">
      <c r="B52" s="35" t="s">
        <v>55</v>
      </c>
      <c r="C52" s="36">
        <f>IFERROR(AVERAGEIF(Tagebuch!$D$6:$D$71,B52,Tagebuch!$E$6:$E$71),"–")</f>
        <v>163.66666666666666</v>
      </c>
      <c r="D52" s="37">
        <f>COUNTIF(Tagebuch!$D$6:$D$71,B52)</f>
        <v>3</v>
      </c>
    </row>
    <row r="53" spans="2:14" x14ac:dyDescent="0.25">
      <c r="B53" s="40" t="s">
        <v>56</v>
      </c>
      <c r="C53" s="41">
        <f>IFERROR(AVERAGEIF(Tagebuch!$D$6:$D$71,B53,Tagebuch!$E$6:$E$71),"–")</f>
        <v>113</v>
      </c>
      <c r="D53" s="42">
        <f>COUNTIF(Tagebuch!$D$6:$D$71,B53)</f>
        <v>10</v>
      </c>
    </row>
    <row r="54" spans="2:14" x14ac:dyDescent="0.25">
      <c r="B54" s="35" t="s">
        <v>57</v>
      </c>
      <c r="C54" s="36" t="str">
        <f>IFERROR(AVERAGEIF(Tagebuch!$D$6:$D$71,B54,Tagebuch!$E$6:$E$71),"–")</f>
        <v>–</v>
      </c>
      <c r="D54" s="37">
        <f>COUNTIF(Tagebuch!$D$6:$D$71,B54)</f>
        <v>0</v>
      </c>
    </row>
    <row r="56" spans="2:14" ht="30" customHeight="1" x14ac:dyDescent="0.25">
      <c r="B56" s="88" t="s">
        <v>58</v>
      </c>
      <c r="C56" s="88"/>
      <c r="D56" s="88"/>
      <c r="E56" s="88"/>
      <c r="F56" s="88"/>
      <c r="G56" s="88"/>
      <c r="H56" s="88"/>
      <c r="I56" s="88"/>
      <c r="J56" s="88"/>
      <c r="K56" s="88"/>
      <c r="L56" s="88"/>
      <c r="M56" s="88"/>
      <c r="N56" s="88"/>
    </row>
  </sheetData>
  <mergeCells count="46">
    <mergeCell ref="J49:K49"/>
    <mergeCell ref="L49:N49"/>
    <mergeCell ref="J50:K50"/>
    <mergeCell ref="L50:N50"/>
    <mergeCell ref="B56:N56"/>
    <mergeCell ref="J46:K46"/>
    <mergeCell ref="L46:N46"/>
    <mergeCell ref="J47:K47"/>
    <mergeCell ref="L47:N47"/>
    <mergeCell ref="J48:K48"/>
    <mergeCell ref="L48:N48"/>
    <mergeCell ref="B24:D24"/>
    <mergeCell ref="E24:G24"/>
    <mergeCell ref="H24:J24"/>
    <mergeCell ref="K24:M24"/>
    <mergeCell ref="C45:D45"/>
    <mergeCell ref="J45:K45"/>
    <mergeCell ref="L45:N45"/>
    <mergeCell ref="B22:D22"/>
    <mergeCell ref="E22:G22"/>
    <mergeCell ref="H22:J22"/>
    <mergeCell ref="K22:M22"/>
    <mergeCell ref="B23:D23"/>
    <mergeCell ref="E23:G23"/>
    <mergeCell ref="H23:J23"/>
    <mergeCell ref="K23:M23"/>
    <mergeCell ref="B18:D18"/>
    <mergeCell ref="E18:G18"/>
    <mergeCell ref="H18:J18"/>
    <mergeCell ref="K18:M18"/>
    <mergeCell ref="B19:D19"/>
    <mergeCell ref="E19:G19"/>
    <mergeCell ref="H19:J19"/>
    <mergeCell ref="K19:M19"/>
    <mergeCell ref="D11:F11"/>
    <mergeCell ref="D12:F12"/>
    <mergeCell ref="I12:N12"/>
    <mergeCell ref="B17:D17"/>
    <mergeCell ref="E17:G17"/>
    <mergeCell ref="H17:J17"/>
    <mergeCell ref="K17:M17"/>
    <mergeCell ref="B2:N2"/>
    <mergeCell ref="B3:N4"/>
    <mergeCell ref="B5:N5"/>
    <mergeCell ref="D9:F9"/>
    <mergeCell ref="D10:F10"/>
  </mergeCells>
  <conditionalFormatting sqref="C46:C54">
    <cfRule type="colorScale" priority="2">
      <colorScale>
        <cfvo type="num" val="70"/>
        <cfvo type="num" val="140"/>
        <cfvo type="num" val="200"/>
        <color rgb="FFDBEFE3"/>
        <color rgb="FFFBEFD1"/>
        <color rgb="FFFBE3DB"/>
      </colorScale>
    </cfRule>
  </conditionalFormatting>
  <conditionalFormatting sqref="J46:J50">
    <cfRule type="colorScale" priority="3">
      <colorScale>
        <cfvo type="min"/>
        <cfvo type="max"/>
        <color rgb="FFE8F4F4"/>
        <color rgb="FF2A9299"/>
      </colorScale>
    </cfRule>
  </conditionalFormatting>
  <printOptions horizontalCentered="1"/>
  <pageMargins left="0.75" right="0.75" top="1" bottom="1" header="0.511811023622047" footer="0.511811023622047"/>
  <pageSetup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A9299"/>
    <pageSetUpPr fitToPage="1"/>
  </sheetPr>
  <dimension ref="B2:J71"/>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8.7109375" defaultRowHeight="15" x14ac:dyDescent="0.25"/>
  <cols>
    <col min="1" max="1" width="2" customWidth="1"/>
    <col min="2" max="2" width="12" customWidth="1"/>
    <col min="3" max="3" width="9" customWidth="1"/>
    <col min="4" max="4" width="17" customWidth="1"/>
    <col min="5" max="5" width="12" customWidth="1"/>
    <col min="6" max="6" width="14" customWidth="1"/>
    <col min="7" max="7" width="10" customWidth="1"/>
    <col min="8" max="8" width="13" customWidth="1"/>
    <col min="9" max="9" width="11" customWidth="1"/>
    <col min="10" max="10" width="30" customWidth="1"/>
  </cols>
  <sheetData>
    <row r="2" spans="2:10" ht="25.5" customHeight="1" x14ac:dyDescent="0.25">
      <c r="B2" s="89" t="s">
        <v>59</v>
      </c>
      <c r="C2" s="89"/>
      <c r="D2" s="89"/>
      <c r="E2" s="89"/>
      <c r="F2" s="89"/>
      <c r="G2" s="89"/>
      <c r="H2" s="89"/>
      <c r="I2" s="89"/>
      <c r="J2" s="89"/>
    </row>
    <row r="3" spans="2:10" x14ac:dyDescent="0.25">
      <c r="B3" s="90" t="s">
        <v>60</v>
      </c>
      <c r="C3" s="90"/>
      <c r="D3" s="90"/>
      <c r="E3" s="90"/>
      <c r="F3" s="90"/>
      <c r="G3" s="90"/>
      <c r="H3" s="90"/>
      <c r="I3" s="90"/>
      <c r="J3" s="90"/>
    </row>
    <row r="5" spans="2:10" ht="27.75" customHeight="1" x14ac:dyDescent="0.25">
      <c r="B5" s="48" t="s">
        <v>61</v>
      </c>
      <c r="C5" s="48" t="s">
        <v>62</v>
      </c>
      <c r="D5" s="48" t="s">
        <v>39</v>
      </c>
      <c r="E5" s="48" t="s">
        <v>63</v>
      </c>
      <c r="F5" s="48" t="s">
        <v>41</v>
      </c>
      <c r="G5" s="48" t="s">
        <v>64</v>
      </c>
      <c r="H5" s="48" t="s">
        <v>65</v>
      </c>
      <c r="I5" s="48" t="s">
        <v>66</v>
      </c>
      <c r="J5" s="48" t="s">
        <v>67</v>
      </c>
    </row>
    <row r="6" spans="2:10" ht="18" customHeight="1" x14ac:dyDescent="0.25">
      <c r="B6" s="49">
        <v>46027</v>
      </c>
      <c r="C6" s="50" t="s">
        <v>68</v>
      </c>
      <c r="D6" s="50" t="s">
        <v>44</v>
      </c>
      <c r="E6" s="51">
        <v>98</v>
      </c>
      <c r="F6" s="39" t="str">
        <f t="shared" ref="F6:F37" si="0">IF(E6="","",IF(E6&lt;Uebersicht_Hypo,"Unterzuckerung",IF(E6&lt;Uebersicht_Low,"Niedrig",IF(E6&lt;=Uebersicht_High,"Im Zielbereich",IF(E6&lt;=Uebersicht_High+40,"Erhöht","Hoch")))))</f>
        <v>Im Zielbereich</v>
      </c>
      <c r="G6" s="52">
        <v>14</v>
      </c>
      <c r="H6" s="50"/>
      <c r="I6" s="50" t="s">
        <v>69</v>
      </c>
      <c r="J6" s="53"/>
    </row>
    <row r="7" spans="2:10" ht="18" customHeight="1" x14ac:dyDescent="0.25">
      <c r="B7" s="54">
        <v>46027</v>
      </c>
      <c r="C7" s="55" t="s">
        <v>70</v>
      </c>
      <c r="D7" s="55" t="s">
        <v>48</v>
      </c>
      <c r="E7" s="56">
        <v>142</v>
      </c>
      <c r="F7" s="44" t="str">
        <f t="shared" si="0"/>
        <v>Erhöht</v>
      </c>
      <c r="G7" s="55"/>
      <c r="H7" s="57">
        <v>4</v>
      </c>
      <c r="I7" s="55" t="s">
        <v>71</v>
      </c>
      <c r="J7" s="58" t="s">
        <v>72</v>
      </c>
    </row>
    <row r="8" spans="2:10" ht="18" customHeight="1" x14ac:dyDescent="0.25">
      <c r="B8" s="49">
        <v>46027</v>
      </c>
      <c r="C8" s="50" t="s">
        <v>73</v>
      </c>
      <c r="D8" s="50" t="s">
        <v>50</v>
      </c>
      <c r="E8" s="51">
        <v>104</v>
      </c>
      <c r="F8" s="39" t="str">
        <f t="shared" si="0"/>
        <v>Im Zielbereich</v>
      </c>
      <c r="G8" s="52">
        <v>6</v>
      </c>
      <c r="H8" s="50"/>
      <c r="I8" s="50" t="s">
        <v>69</v>
      </c>
      <c r="J8" s="53"/>
    </row>
    <row r="9" spans="2:10" ht="18" customHeight="1" x14ac:dyDescent="0.25">
      <c r="B9" s="54">
        <v>46027</v>
      </c>
      <c r="C9" s="55" t="s">
        <v>74</v>
      </c>
      <c r="D9" s="55" t="s">
        <v>52</v>
      </c>
      <c r="E9" s="56">
        <v>158</v>
      </c>
      <c r="F9" s="44" t="str">
        <f t="shared" si="0"/>
        <v>Erhöht</v>
      </c>
      <c r="G9" s="55"/>
      <c r="H9" s="57">
        <v>5</v>
      </c>
      <c r="I9" s="55" t="s">
        <v>75</v>
      </c>
      <c r="J9" s="58" t="s">
        <v>76</v>
      </c>
    </row>
    <row r="10" spans="2:10" ht="18" customHeight="1" x14ac:dyDescent="0.25">
      <c r="B10" s="49">
        <v>46027</v>
      </c>
      <c r="C10" s="50" t="s">
        <v>77</v>
      </c>
      <c r="D10" s="50" t="s">
        <v>54</v>
      </c>
      <c r="E10" s="51">
        <v>96</v>
      </c>
      <c r="F10" s="39" t="str">
        <f t="shared" si="0"/>
        <v>Im Zielbereich</v>
      </c>
      <c r="G10" s="52">
        <v>6</v>
      </c>
      <c r="H10" s="50"/>
      <c r="I10" s="50" t="s">
        <v>69</v>
      </c>
      <c r="J10" s="53"/>
    </row>
    <row r="11" spans="2:10" ht="18" customHeight="1" x14ac:dyDescent="0.25">
      <c r="B11" s="54">
        <v>46027</v>
      </c>
      <c r="C11" s="55" t="s">
        <v>78</v>
      </c>
      <c r="D11" s="55" t="s">
        <v>56</v>
      </c>
      <c r="E11" s="56">
        <v>118</v>
      </c>
      <c r="F11" s="44" t="str">
        <f t="shared" si="0"/>
        <v>Im Zielbereich</v>
      </c>
      <c r="G11" s="55"/>
      <c r="H11" s="55"/>
      <c r="I11" s="55" t="s">
        <v>69</v>
      </c>
      <c r="J11" s="58"/>
    </row>
    <row r="12" spans="2:10" ht="18" customHeight="1" x14ac:dyDescent="0.25">
      <c r="B12" s="49">
        <v>46028</v>
      </c>
      <c r="C12" s="50" t="s">
        <v>79</v>
      </c>
      <c r="D12" s="50" t="s">
        <v>44</v>
      </c>
      <c r="E12" s="51">
        <v>112</v>
      </c>
      <c r="F12" s="39" t="str">
        <f t="shared" si="0"/>
        <v>Im Zielbereich</v>
      </c>
      <c r="G12" s="52">
        <v>14</v>
      </c>
      <c r="H12" s="50"/>
      <c r="I12" s="50" t="s">
        <v>69</v>
      </c>
      <c r="J12" s="53"/>
    </row>
    <row r="13" spans="2:10" ht="18" customHeight="1" x14ac:dyDescent="0.25">
      <c r="B13" s="54">
        <v>46028</v>
      </c>
      <c r="C13" s="55" t="s">
        <v>80</v>
      </c>
      <c r="D13" s="55" t="s">
        <v>48</v>
      </c>
      <c r="E13" s="56">
        <v>165</v>
      </c>
      <c r="F13" s="44" t="str">
        <f t="shared" si="0"/>
        <v>Erhöht</v>
      </c>
      <c r="G13" s="55"/>
      <c r="H13" s="57">
        <v>4.5</v>
      </c>
      <c r="I13" s="55" t="s">
        <v>69</v>
      </c>
      <c r="J13" s="58" t="s">
        <v>81</v>
      </c>
    </row>
    <row r="14" spans="2:10" ht="18" customHeight="1" x14ac:dyDescent="0.25">
      <c r="B14" s="49">
        <v>46028</v>
      </c>
      <c r="C14" s="50" t="s">
        <v>82</v>
      </c>
      <c r="D14" s="50" t="s">
        <v>52</v>
      </c>
      <c r="E14" s="51">
        <v>149</v>
      </c>
      <c r="F14" s="39" t="str">
        <f t="shared" si="0"/>
        <v>Erhöht</v>
      </c>
      <c r="G14" s="50"/>
      <c r="H14" s="59">
        <v>5</v>
      </c>
      <c r="I14" s="50" t="s">
        <v>71</v>
      </c>
      <c r="J14" s="53"/>
    </row>
    <row r="15" spans="2:10" ht="18" customHeight="1" x14ac:dyDescent="0.25">
      <c r="B15" s="54">
        <v>46028</v>
      </c>
      <c r="C15" s="55" t="s">
        <v>83</v>
      </c>
      <c r="D15" s="55" t="s">
        <v>54</v>
      </c>
      <c r="E15" s="56">
        <v>88</v>
      </c>
      <c r="F15" s="44" t="str">
        <f t="shared" si="0"/>
        <v>Im Zielbereich</v>
      </c>
      <c r="G15" s="60">
        <v>6</v>
      </c>
      <c r="H15" s="55"/>
      <c r="I15" s="55" t="s">
        <v>75</v>
      </c>
      <c r="J15" s="58" t="s">
        <v>84</v>
      </c>
    </row>
    <row r="16" spans="2:10" ht="18" customHeight="1" x14ac:dyDescent="0.25">
      <c r="B16" s="49">
        <v>46028</v>
      </c>
      <c r="C16" s="50" t="s">
        <v>85</v>
      </c>
      <c r="D16" s="50" t="s">
        <v>56</v>
      </c>
      <c r="E16" s="51">
        <v>103</v>
      </c>
      <c r="F16" s="39" t="str">
        <f t="shared" si="0"/>
        <v>Im Zielbereich</v>
      </c>
      <c r="G16" s="50"/>
      <c r="H16" s="50"/>
      <c r="I16" s="50" t="s">
        <v>69</v>
      </c>
      <c r="J16" s="53"/>
    </row>
    <row r="17" spans="2:10" ht="18" customHeight="1" x14ac:dyDescent="0.25">
      <c r="B17" s="54">
        <v>46029</v>
      </c>
      <c r="C17" s="55" t="s">
        <v>86</v>
      </c>
      <c r="D17" s="55" t="s">
        <v>44</v>
      </c>
      <c r="E17" s="56">
        <v>64</v>
      </c>
      <c r="F17" s="44" t="str">
        <f t="shared" si="0"/>
        <v>Unterzuckerung</v>
      </c>
      <c r="G17" s="60">
        <v>14</v>
      </c>
      <c r="H17" s="55"/>
      <c r="I17" s="55" t="s">
        <v>69</v>
      </c>
      <c r="J17" s="58" t="s">
        <v>87</v>
      </c>
    </row>
    <row r="18" spans="2:10" ht="18" customHeight="1" x14ac:dyDescent="0.25">
      <c r="B18" s="49">
        <v>46029</v>
      </c>
      <c r="C18" s="50" t="s">
        <v>88</v>
      </c>
      <c r="D18" s="50" t="s">
        <v>48</v>
      </c>
      <c r="E18" s="51">
        <v>128</v>
      </c>
      <c r="F18" s="39" t="str">
        <f t="shared" si="0"/>
        <v>Im Zielbereich</v>
      </c>
      <c r="G18" s="50"/>
      <c r="H18" s="59">
        <v>3.5</v>
      </c>
      <c r="I18" s="50" t="s">
        <v>69</v>
      </c>
      <c r="J18" s="53"/>
    </row>
    <row r="19" spans="2:10" ht="18" customHeight="1" x14ac:dyDescent="0.25">
      <c r="B19" s="54">
        <v>46029</v>
      </c>
      <c r="C19" s="55" t="s">
        <v>89</v>
      </c>
      <c r="D19" s="55" t="s">
        <v>50</v>
      </c>
      <c r="E19" s="56">
        <v>92</v>
      </c>
      <c r="F19" s="44" t="str">
        <f t="shared" si="0"/>
        <v>Im Zielbereich</v>
      </c>
      <c r="G19" s="60">
        <v>6</v>
      </c>
      <c r="H19" s="55"/>
      <c r="I19" s="55" t="s">
        <v>69</v>
      </c>
      <c r="J19" s="58"/>
    </row>
    <row r="20" spans="2:10" ht="18" customHeight="1" x14ac:dyDescent="0.25">
      <c r="B20" s="49">
        <v>46029</v>
      </c>
      <c r="C20" s="50" t="s">
        <v>90</v>
      </c>
      <c r="D20" s="50" t="s">
        <v>55</v>
      </c>
      <c r="E20" s="51">
        <v>176</v>
      </c>
      <c r="F20" s="39" t="str">
        <f t="shared" si="0"/>
        <v>Erhöht</v>
      </c>
      <c r="G20" s="50"/>
      <c r="H20" s="59">
        <v>6</v>
      </c>
      <c r="I20" s="50" t="s">
        <v>69</v>
      </c>
      <c r="J20" s="53" t="s">
        <v>91</v>
      </c>
    </row>
    <row r="21" spans="2:10" ht="18" customHeight="1" x14ac:dyDescent="0.25">
      <c r="B21" s="54">
        <v>46029</v>
      </c>
      <c r="C21" s="55" t="s">
        <v>78</v>
      </c>
      <c r="D21" s="55" t="s">
        <v>56</v>
      </c>
      <c r="E21" s="56">
        <v>121</v>
      </c>
      <c r="F21" s="44" t="str">
        <f t="shared" si="0"/>
        <v>Im Zielbereich</v>
      </c>
      <c r="G21" s="55"/>
      <c r="H21" s="55"/>
      <c r="I21" s="55" t="s">
        <v>69</v>
      </c>
      <c r="J21" s="58"/>
    </row>
    <row r="22" spans="2:10" ht="18" customHeight="1" x14ac:dyDescent="0.25">
      <c r="B22" s="49">
        <v>46030</v>
      </c>
      <c r="C22" s="50" t="s">
        <v>92</v>
      </c>
      <c r="D22" s="50" t="s">
        <v>44</v>
      </c>
      <c r="E22" s="51">
        <v>101</v>
      </c>
      <c r="F22" s="39" t="str">
        <f t="shared" si="0"/>
        <v>Im Zielbereich</v>
      </c>
      <c r="G22" s="52">
        <v>14</v>
      </c>
      <c r="H22" s="50"/>
      <c r="I22" s="50" t="s">
        <v>69</v>
      </c>
      <c r="J22" s="53"/>
    </row>
    <row r="23" spans="2:10" ht="18" customHeight="1" x14ac:dyDescent="0.25">
      <c r="B23" s="54">
        <v>46030</v>
      </c>
      <c r="C23" s="55" t="s">
        <v>93</v>
      </c>
      <c r="D23" s="55" t="s">
        <v>52</v>
      </c>
      <c r="E23" s="56">
        <v>138</v>
      </c>
      <c r="F23" s="44" t="str">
        <f t="shared" si="0"/>
        <v>Im Zielbereich</v>
      </c>
      <c r="G23" s="55"/>
      <c r="H23" s="57">
        <v>4.5</v>
      </c>
      <c r="I23" s="55" t="s">
        <v>71</v>
      </c>
      <c r="J23" s="58"/>
    </row>
    <row r="24" spans="2:10" ht="18" customHeight="1" x14ac:dyDescent="0.25">
      <c r="B24" s="49">
        <v>46030</v>
      </c>
      <c r="C24" s="50" t="s">
        <v>94</v>
      </c>
      <c r="D24" s="50" t="s">
        <v>54</v>
      </c>
      <c r="E24" s="51">
        <v>99</v>
      </c>
      <c r="F24" s="39" t="str">
        <f t="shared" si="0"/>
        <v>Im Zielbereich</v>
      </c>
      <c r="G24" s="52">
        <v>6</v>
      </c>
      <c r="H24" s="50"/>
      <c r="I24" s="50" t="s">
        <v>95</v>
      </c>
      <c r="J24" s="53" t="s">
        <v>96</v>
      </c>
    </row>
    <row r="25" spans="2:10" ht="18" customHeight="1" x14ac:dyDescent="0.25">
      <c r="B25" s="54">
        <v>46030</v>
      </c>
      <c r="C25" s="55" t="s">
        <v>97</v>
      </c>
      <c r="D25" s="55" t="s">
        <v>56</v>
      </c>
      <c r="E25" s="56">
        <v>95</v>
      </c>
      <c r="F25" s="44" t="str">
        <f t="shared" si="0"/>
        <v>Im Zielbereich</v>
      </c>
      <c r="G25" s="55"/>
      <c r="H25" s="55"/>
      <c r="I25" s="55" t="s">
        <v>69</v>
      </c>
      <c r="J25" s="58"/>
    </row>
    <row r="26" spans="2:10" ht="18" customHeight="1" x14ac:dyDescent="0.25">
      <c r="B26" s="49">
        <v>46031</v>
      </c>
      <c r="C26" s="50" t="s">
        <v>98</v>
      </c>
      <c r="D26" s="50" t="s">
        <v>44</v>
      </c>
      <c r="E26" s="51">
        <v>108</v>
      </c>
      <c r="F26" s="39" t="str">
        <f t="shared" si="0"/>
        <v>Im Zielbereich</v>
      </c>
      <c r="G26" s="52">
        <v>14</v>
      </c>
      <c r="H26" s="50"/>
      <c r="I26" s="50" t="s">
        <v>69</v>
      </c>
      <c r="J26" s="53"/>
    </row>
    <row r="27" spans="2:10" ht="18" customHeight="1" x14ac:dyDescent="0.25">
      <c r="B27" s="54">
        <v>46031</v>
      </c>
      <c r="C27" s="55" t="s">
        <v>99</v>
      </c>
      <c r="D27" s="55" t="s">
        <v>48</v>
      </c>
      <c r="E27" s="56">
        <v>152</v>
      </c>
      <c r="F27" s="44" t="str">
        <f t="shared" si="0"/>
        <v>Erhöht</v>
      </c>
      <c r="G27" s="55"/>
      <c r="H27" s="57">
        <v>4</v>
      </c>
      <c r="I27" s="55" t="s">
        <v>69</v>
      </c>
      <c r="J27" s="58"/>
    </row>
    <row r="28" spans="2:10" ht="18" customHeight="1" x14ac:dyDescent="0.25">
      <c r="B28" s="49">
        <v>46031</v>
      </c>
      <c r="C28" s="50" t="s">
        <v>100</v>
      </c>
      <c r="D28" s="50" t="s">
        <v>52</v>
      </c>
      <c r="E28" s="51">
        <v>161</v>
      </c>
      <c r="F28" s="39" t="str">
        <f t="shared" si="0"/>
        <v>Erhöht</v>
      </c>
      <c r="G28" s="50"/>
      <c r="H28" s="59">
        <v>5.5</v>
      </c>
      <c r="I28" s="50" t="s">
        <v>69</v>
      </c>
      <c r="J28" s="53"/>
    </row>
    <row r="29" spans="2:10" ht="18" customHeight="1" x14ac:dyDescent="0.25">
      <c r="B29" s="54">
        <v>46031</v>
      </c>
      <c r="C29" s="55" t="s">
        <v>101</v>
      </c>
      <c r="D29" s="55" t="s">
        <v>56</v>
      </c>
      <c r="E29" s="56">
        <v>112</v>
      </c>
      <c r="F29" s="44" t="str">
        <f t="shared" si="0"/>
        <v>Im Zielbereich</v>
      </c>
      <c r="G29" s="55"/>
      <c r="H29" s="55"/>
      <c r="I29" s="55" t="s">
        <v>71</v>
      </c>
      <c r="J29" s="58"/>
    </row>
    <row r="30" spans="2:10" ht="18" customHeight="1" x14ac:dyDescent="0.25">
      <c r="B30" s="49">
        <v>46032</v>
      </c>
      <c r="C30" s="50" t="s">
        <v>102</v>
      </c>
      <c r="D30" s="50" t="s">
        <v>44</v>
      </c>
      <c r="E30" s="51">
        <v>95</v>
      </c>
      <c r="F30" s="39" t="str">
        <f t="shared" si="0"/>
        <v>Im Zielbereich</v>
      </c>
      <c r="G30" s="52">
        <v>14</v>
      </c>
      <c r="H30" s="50"/>
      <c r="I30" s="50" t="s">
        <v>69</v>
      </c>
      <c r="J30" s="53"/>
    </row>
    <row r="31" spans="2:10" ht="18" customHeight="1" x14ac:dyDescent="0.25">
      <c r="B31" s="54">
        <v>46032</v>
      </c>
      <c r="C31" s="55" t="s">
        <v>103</v>
      </c>
      <c r="D31" s="55" t="s">
        <v>50</v>
      </c>
      <c r="E31" s="56">
        <v>88</v>
      </c>
      <c r="F31" s="44" t="str">
        <f t="shared" si="0"/>
        <v>Im Zielbereich</v>
      </c>
      <c r="G31" s="60">
        <v>6</v>
      </c>
      <c r="H31" s="55"/>
      <c r="I31" s="55" t="s">
        <v>69</v>
      </c>
      <c r="J31" s="58"/>
    </row>
    <row r="32" spans="2:10" ht="18" customHeight="1" x14ac:dyDescent="0.25">
      <c r="B32" s="49">
        <v>46032</v>
      </c>
      <c r="C32" s="50" t="s">
        <v>104</v>
      </c>
      <c r="D32" s="50" t="s">
        <v>55</v>
      </c>
      <c r="E32" s="51">
        <v>147</v>
      </c>
      <c r="F32" s="39" t="str">
        <f t="shared" si="0"/>
        <v>Erhöht</v>
      </c>
      <c r="G32" s="50"/>
      <c r="H32" s="59">
        <v>5</v>
      </c>
      <c r="I32" s="50" t="s">
        <v>75</v>
      </c>
      <c r="J32" s="53"/>
    </row>
    <row r="33" spans="2:10" ht="18" customHeight="1" x14ac:dyDescent="0.25">
      <c r="B33" s="54">
        <v>46032</v>
      </c>
      <c r="C33" s="55" t="s">
        <v>105</v>
      </c>
      <c r="D33" s="55" t="s">
        <v>56</v>
      </c>
      <c r="E33" s="56">
        <v>124</v>
      </c>
      <c r="F33" s="44" t="str">
        <f t="shared" si="0"/>
        <v>Im Zielbereich</v>
      </c>
      <c r="G33" s="55"/>
      <c r="H33" s="55"/>
      <c r="I33" s="55" t="s">
        <v>69</v>
      </c>
      <c r="J33" s="58"/>
    </row>
    <row r="34" spans="2:10" ht="18" customHeight="1" x14ac:dyDescent="0.25">
      <c r="B34" s="49">
        <v>46033</v>
      </c>
      <c r="C34" s="50" t="s">
        <v>86</v>
      </c>
      <c r="D34" s="50" t="s">
        <v>44</v>
      </c>
      <c r="E34" s="51">
        <v>118</v>
      </c>
      <c r="F34" s="39" t="str">
        <f t="shared" si="0"/>
        <v>Im Zielbereich</v>
      </c>
      <c r="G34" s="52">
        <v>14</v>
      </c>
      <c r="H34" s="50"/>
      <c r="I34" s="50" t="s">
        <v>69</v>
      </c>
      <c r="J34" s="53"/>
    </row>
    <row r="35" spans="2:10" ht="18" customHeight="1" x14ac:dyDescent="0.25">
      <c r="B35" s="54">
        <v>46033</v>
      </c>
      <c r="C35" s="55" t="s">
        <v>106</v>
      </c>
      <c r="D35" s="55" t="s">
        <v>48</v>
      </c>
      <c r="E35" s="56">
        <v>183</v>
      </c>
      <c r="F35" s="44" t="str">
        <f t="shared" si="0"/>
        <v>Hoch</v>
      </c>
      <c r="G35" s="55"/>
      <c r="H35" s="57">
        <v>5</v>
      </c>
      <c r="I35" s="55" t="s">
        <v>69</v>
      </c>
      <c r="J35" s="58" t="s">
        <v>107</v>
      </c>
    </row>
    <row r="36" spans="2:10" ht="18" customHeight="1" x14ac:dyDescent="0.25">
      <c r="B36" s="49">
        <v>46033</v>
      </c>
      <c r="C36" s="50" t="s">
        <v>108</v>
      </c>
      <c r="D36" s="50" t="s">
        <v>52</v>
      </c>
      <c r="E36" s="51">
        <v>142</v>
      </c>
      <c r="F36" s="39" t="str">
        <f t="shared" si="0"/>
        <v>Erhöht</v>
      </c>
      <c r="G36" s="50"/>
      <c r="H36" s="59">
        <v>4.5</v>
      </c>
      <c r="I36" s="50" t="s">
        <v>71</v>
      </c>
      <c r="J36" s="53"/>
    </row>
    <row r="37" spans="2:10" ht="18" customHeight="1" x14ac:dyDescent="0.25">
      <c r="B37" s="54">
        <v>46033</v>
      </c>
      <c r="C37" s="55" t="s">
        <v>77</v>
      </c>
      <c r="D37" s="55" t="s">
        <v>54</v>
      </c>
      <c r="E37" s="56">
        <v>91</v>
      </c>
      <c r="F37" s="44" t="str">
        <f t="shared" si="0"/>
        <v>Im Zielbereich</v>
      </c>
      <c r="G37" s="60">
        <v>6</v>
      </c>
      <c r="H37" s="55"/>
      <c r="I37" s="55" t="s">
        <v>69</v>
      </c>
      <c r="J37" s="58"/>
    </row>
    <row r="38" spans="2:10" ht="18" customHeight="1" x14ac:dyDescent="0.25">
      <c r="B38" s="49">
        <v>46033</v>
      </c>
      <c r="C38" s="50" t="s">
        <v>109</v>
      </c>
      <c r="D38" s="50" t="s">
        <v>56</v>
      </c>
      <c r="E38" s="51">
        <v>107</v>
      </c>
      <c r="F38" s="39" t="str">
        <f t="shared" ref="F38:F69" si="1">IF(E38="","",IF(E38&lt;Uebersicht_Hypo,"Unterzuckerung",IF(E38&lt;Uebersicht_Low,"Niedrig",IF(E38&lt;=Uebersicht_High,"Im Zielbereich",IF(E38&lt;=Uebersicht_High+40,"Erhöht","Hoch")))))</f>
        <v>Im Zielbereich</v>
      </c>
      <c r="G38" s="50"/>
      <c r="H38" s="50"/>
      <c r="I38" s="50" t="s">
        <v>69</v>
      </c>
      <c r="J38" s="53"/>
    </row>
    <row r="39" spans="2:10" ht="18" customHeight="1" x14ac:dyDescent="0.25">
      <c r="B39" s="54">
        <v>46034</v>
      </c>
      <c r="C39" s="55" t="s">
        <v>92</v>
      </c>
      <c r="D39" s="55" t="s">
        <v>44</v>
      </c>
      <c r="E39" s="56">
        <v>103</v>
      </c>
      <c r="F39" s="44" t="str">
        <f t="shared" si="1"/>
        <v>Im Zielbereich</v>
      </c>
      <c r="G39" s="60">
        <v>14</v>
      </c>
      <c r="H39" s="55"/>
      <c r="I39" s="55" t="s">
        <v>69</v>
      </c>
      <c r="J39" s="58"/>
    </row>
    <row r="40" spans="2:10" ht="18" customHeight="1" x14ac:dyDescent="0.25">
      <c r="B40" s="49">
        <v>46034</v>
      </c>
      <c r="C40" s="50" t="s">
        <v>110</v>
      </c>
      <c r="D40" s="50" t="s">
        <v>52</v>
      </c>
      <c r="E40" s="51">
        <v>134</v>
      </c>
      <c r="F40" s="39" t="str">
        <f t="shared" si="1"/>
        <v>Im Zielbereich</v>
      </c>
      <c r="G40" s="50"/>
      <c r="H40" s="59">
        <v>4</v>
      </c>
      <c r="I40" s="50" t="s">
        <v>75</v>
      </c>
      <c r="J40" s="53"/>
    </row>
    <row r="41" spans="2:10" ht="18" customHeight="1" x14ac:dyDescent="0.25">
      <c r="B41" s="54">
        <v>46034</v>
      </c>
      <c r="C41" s="55" t="s">
        <v>78</v>
      </c>
      <c r="D41" s="55" t="s">
        <v>56</v>
      </c>
      <c r="E41" s="56">
        <v>99</v>
      </c>
      <c r="F41" s="44" t="str">
        <f t="shared" si="1"/>
        <v>Im Zielbereich</v>
      </c>
      <c r="G41" s="55"/>
      <c r="H41" s="55"/>
      <c r="I41" s="55" t="s">
        <v>69</v>
      </c>
      <c r="J41" s="58"/>
    </row>
    <row r="42" spans="2:10" ht="18" customHeight="1" x14ac:dyDescent="0.25">
      <c r="B42" s="49">
        <v>46035</v>
      </c>
      <c r="C42" s="50" t="s">
        <v>111</v>
      </c>
      <c r="D42" s="50" t="s">
        <v>44</v>
      </c>
      <c r="E42" s="51">
        <v>89</v>
      </c>
      <c r="F42" s="39" t="str">
        <f t="shared" si="1"/>
        <v>Im Zielbereich</v>
      </c>
      <c r="G42" s="52">
        <v>14</v>
      </c>
      <c r="H42" s="50"/>
      <c r="I42" s="50" t="s">
        <v>69</v>
      </c>
      <c r="J42" s="53"/>
    </row>
    <row r="43" spans="2:10" ht="18" customHeight="1" x14ac:dyDescent="0.25">
      <c r="B43" s="54">
        <v>46035</v>
      </c>
      <c r="C43" s="55" t="s">
        <v>70</v>
      </c>
      <c r="D43" s="55" t="s">
        <v>48</v>
      </c>
      <c r="E43" s="56">
        <v>145</v>
      </c>
      <c r="F43" s="44" t="str">
        <f t="shared" si="1"/>
        <v>Erhöht</v>
      </c>
      <c r="G43" s="55"/>
      <c r="H43" s="57">
        <v>4</v>
      </c>
      <c r="I43" s="55" t="s">
        <v>69</v>
      </c>
      <c r="J43" s="58"/>
    </row>
    <row r="44" spans="2:10" ht="18" customHeight="1" x14ac:dyDescent="0.25">
      <c r="B44" s="49">
        <v>46035</v>
      </c>
      <c r="C44" s="50" t="s">
        <v>90</v>
      </c>
      <c r="D44" s="50" t="s">
        <v>55</v>
      </c>
      <c r="E44" s="51">
        <v>168</v>
      </c>
      <c r="F44" s="39" t="str">
        <f t="shared" si="1"/>
        <v>Erhöht</v>
      </c>
      <c r="G44" s="50"/>
      <c r="H44" s="59">
        <v>6</v>
      </c>
      <c r="I44" s="50" t="s">
        <v>69</v>
      </c>
      <c r="J44" s="53" t="s">
        <v>112</v>
      </c>
    </row>
    <row r="45" spans="2:10" ht="18" customHeight="1" x14ac:dyDescent="0.25">
      <c r="B45" s="54">
        <v>46036</v>
      </c>
      <c r="C45" s="55" t="s">
        <v>68</v>
      </c>
      <c r="D45" s="55" t="s">
        <v>44</v>
      </c>
      <c r="E45" s="56">
        <v>126</v>
      </c>
      <c r="F45" s="44" t="str">
        <f t="shared" si="1"/>
        <v>Im Zielbereich</v>
      </c>
      <c r="G45" s="60">
        <v>14</v>
      </c>
      <c r="H45" s="55"/>
      <c r="I45" s="55" t="s">
        <v>69</v>
      </c>
      <c r="J45" s="58" t="s">
        <v>113</v>
      </c>
    </row>
    <row r="46" spans="2:10" ht="18" customHeight="1" x14ac:dyDescent="0.25">
      <c r="B46" s="49">
        <v>46036</v>
      </c>
      <c r="C46" s="50" t="s">
        <v>114</v>
      </c>
      <c r="D46" s="50" t="s">
        <v>52</v>
      </c>
      <c r="E46" s="51">
        <v>157</v>
      </c>
      <c r="F46" s="39" t="str">
        <f t="shared" si="1"/>
        <v>Erhöht</v>
      </c>
      <c r="G46" s="50"/>
      <c r="H46" s="59">
        <v>5</v>
      </c>
      <c r="I46" s="50" t="s">
        <v>69</v>
      </c>
      <c r="J46" s="53"/>
    </row>
    <row r="47" spans="2:10" ht="18" customHeight="1" x14ac:dyDescent="0.25">
      <c r="B47" s="54">
        <v>46036</v>
      </c>
      <c r="C47" s="55" t="s">
        <v>85</v>
      </c>
      <c r="D47" s="55" t="s">
        <v>56</v>
      </c>
      <c r="E47" s="56">
        <v>133</v>
      </c>
      <c r="F47" s="44" t="str">
        <f t="shared" si="1"/>
        <v>Im Zielbereich</v>
      </c>
      <c r="G47" s="55"/>
      <c r="H47" s="55"/>
      <c r="I47" s="55" t="s">
        <v>69</v>
      </c>
      <c r="J47" s="58"/>
    </row>
    <row r="48" spans="2:10" ht="18" customHeight="1" x14ac:dyDescent="0.25">
      <c r="B48" s="49">
        <v>46037</v>
      </c>
      <c r="C48" s="50" t="s">
        <v>86</v>
      </c>
      <c r="D48" s="50" t="s">
        <v>44</v>
      </c>
      <c r="E48" s="51">
        <v>97</v>
      </c>
      <c r="F48" s="39" t="str">
        <f t="shared" si="1"/>
        <v>Im Zielbereich</v>
      </c>
      <c r="G48" s="52">
        <v>14</v>
      </c>
      <c r="H48" s="50"/>
      <c r="I48" s="50" t="s">
        <v>69</v>
      </c>
      <c r="J48" s="53"/>
    </row>
    <row r="49" spans="2:10" ht="18" customHeight="1" x14ac:dyDescent="0.25">
      <c r="B49" s="54">
        <v>46037</v>
      </c>
      <c r="C49" s="55" t="s">
        <v>88</v>
      </c>
      <c r="D49" s="55" t="s">
        <v>48</v>
      </c>
      <c r="E49" s="56">
        <v>139</v>
      </c>
      <c r="F49" s="44" t="str">
        <f t="shared" si="1"/>
        <v>Im Zielbereich</v>
      </c>
      <c r="G49" s="55"/>
      <c r="H49" s="57">
        <v>4</v>
      </c>
      <c r="I49" s="55" t="s">
        <v>71</v>
      </c>
      <c r="J49" s="58"/>
    </row>
    <row r="50" spans="2:10" ht="18" customHeight="1" x14ac:dyDescent="0.25">
      <c r="B50" s="49">
        <v>46037</v>
      </c>
      <c r="C50" s="50" t="s">
        <v>94</v>
      </c>
      <c r="D50" s="50" t="s">
        <v>54</v>
      </c>
      <c r="E50" s="51">
        <v>84</v>
      </c>
      <c r="F50" s="39" t="str">
        <f t="shared" si="1"/>
        <v>Im Zielbereich</v>
      </c>
      <c r="G50" s="52">
        <v>6</v>
      </c>
      <c r="H50" s="50"/>
      <c r="I50" s="50" t="s">
        <v>95</v>
      </c>
      <c r="J50" s="53" t="s">
        <v>115</v>
      </c>
    </row>
    <row r="51" spans="2:10" ht="18" customHeight="1" x14ac:dyDescent="0.25">
      <c r="B51" s="54">
        <v>46038</v>
      </c>
      <c r="C51" s="55" t="s">
        <v>79</v>
      </c>
      <c r="D51" s="55" t="s">
        <v>44</v>
      </c>
      <c r="E51" s="56">
        <v>110</v>
      </c>
      <c r="F51" s="44" t="str">
        <f t="shared" si="1"/>
        <v>Im Zielbereich</v>
      </c>
      <c r="G51" s="60">
        <v>14</v>
      </c>
      <c r="H51" s="55"/>
      <c r="I51" s="55" t="s">
        <v>69</v>
      </c>
      <c r="J51" s="58"/>
    </row>
    <row r="52" spans="2:10" ht="18" customHeight="1" x14ac:dyDescent="0.25">
      <c r="B52" s="49">
        <v>46038</v>
      </c>
      <c r="C52" s="50" t="s">
        <v>116</v>
      </c>
      <c r="D52" s="50" t="s">
        <v>52</v>
      </c>
      <c r="E52" s="51">
        <v>151</v>
      </c>
      <c r="F52" s="39" t="str">
        <f t="shared" si="1"/>
        <v>Erhöht</v>
      </c>
      <c r="G52" s="50"/>
      <c r="H52" s="59">
        <v>5</v>
      </c>
      <c r="I52" s="50" t="s">
        <v>69</v>
      </c>
      <c r="J52" s="53"/>
    </row>
    <row r="53" spans="2:10" ht="18" customHeight="1" x14ac:dyDescent="0.25">
      <c r="B53" s="54">
        <v>46038</v>
      </c>
      <c r="C53" s="55" t="s">
        <v>78</v>
      </c>
      <c r="D53" s="55" t="s">
        <v>56</v>
      </c>
      <c r="E53" s="56">
        <v>118</v>
      </c>
      <c r="F53" s="44" t="str">
        <f t="shared" si="1"/>
        <v>Im Zielbereich</v>
      </c>
      <c r="G53" s="55"/>
      <c r="H53" s="55"/>
      <c r="I53" s="55" t="s">
        <v>69</v>
      </c>
      <c r="J53" s="58"/>
    </row>
    <row r="54" spans="2:10" ht="18" customHeight="1" x14ac:dyDescent="0.25">
      <c r="B54" s="49"/>
      <c r="C54" s="50"/>
      <c r="D54" s="50"/>
      <c r="E54" s="51"/>
      <c r="F54" s="39" t="str">
        <f t="shared" si="1"/>
        <v/>
      </c>
      <c r="G54" s="52"/>
      <c r="H54" s="59"/>
      <c r="I54" s="50"/>
      <c r="J54" s="53"/>
    </row>
    <row r="55" spans="2:10" ht="18" customHeight="1" x14ac:dyDescent="0.25">
      <c r="B55" s="54"/>
      <c r="C55" s="55"/>
      <c r="D55" s="55"/>
      <c r="E55" s="56"/>
      <c r="F55" s="44" t="str">
        <f t="shared" si="1"/>
        <v/>
      </c>
      <c r="G55" s="60"/>
      <c r="H55" s="57"/>
      <c r="I55" s="55"/>
      <c r="J55" s="58"/>
    </row>
    <row r="56" spans="2:10" ht="18" customHeight="1" x14ac:dyDescent="0.25">
      <c r="B56" s="49"/>
      <c r="C56" s="50"/>
      <c r="D56" s="50"/>
      <c r="E56" s="51"/>
      <c r="F56" s="39" t="str">
        <f t="shared" si="1"/>
        <v/>
      </c>
      <c r="G56" s="52"/>
      <c r="H56" s="59"/>
      <c r="I56" s="50"/>
      <c r="J56" s="53"/>
    </row>
    <row r="57" spans="2:10" ht="18" customHeight="1" x14ac:dyDescent="0.25">
      <c r="B57" s="54"/>
      <c r="C57" s="55"/>
      <c r="D57" s="55"/>
      <c r="E57" s="56"/>
      <c r="F57" s="44" t="str">
        <f t="shared" si="1"/>
        <v/>
      </c>
      <c r="G57" s="60"/>
      <c r="H57" s="57"/>
      <c r="I57" s="55"/>
      <c r="J57" s="58"/>
    </row>
    <row r="58" spans="2:10" ht="18" customHeight="1" x14ac:dyDescent="0.25">
      <c r="B58" s="49"/>
      <c r="C58" s="50"/>
      <c r="D58" s="50"/>
      <c r="E58" s="51"/>
      <c r="F58" s="39" t="str">
        <f t="shared" si="1"/>
        <v/>
      </c>
      <c r="G58" s="52"/>
      <c r="H58" s="59"/>
      <c r="I58" s="50"/>
      <c r="J58" s="53"/>
    </row>
    <row r="59" spans="2:10" ht="18" customHeight="1" x14ac:dyDescent="0.25">
      <c r="B59" s="54"/>
      <c r="C59" s="55"/>
      <c r="D59" s="55"/>
      <c r="E59" s="56"/>
      <c r="F59" s="44" t="str">
        <f t="shared" si="1"/>
        <v/>
      </c>
      <c r="G59" s="60"/>
      <c r="H59" s="57"/>
      <c r="I59" s="55"/>
      <c r="J59" s="58"/>
    </row>
    <row r="60" spans="2:10" ht="18" customHeight="1" x14ac:dyDescent="0.25">
      <c r="B60" s="49"/>
      <c r="C60" s="50"/>
      <c r="D60" s="50"/>
      <c r="E60" s="51"/>
      <c r="F60" s="39" t="str">
        <f t="shared" si="1"/>
        <v/>
      </c>
      <c r="G60" s="52"/>
      <c r="H60" s="59"/>
      <c r="I60" s="50"/>
      <c r="J60" s="53"/>
    </row>
    <row r="61" spans="2:10" ht="18" customHeight="1" x14ac:dyDescent="0.25">
      <c r="B61" s="54"/>
      <c r="C61" s="55"/>
      <c r="D61" s="55"/>
      <c r="E61" s="56"/>
      <c r="F61" s="44" t="str">
        <f t="shared" si="1"/>
        <v/>
      </c>
      <c r="G61" s="60"/>
      <c r="H61" s="57"/>
      <c r="I61" s="55"/>
      <c r="J61" s="58"/>
    </row>
    <row r="62" spans="2:10" ht="18" customHeight="1" x14ac:dyDescent="0.25">
      <c r="B62" s="49"/>
      <c r="C62" s="50"/>
      <c r="D62" s="50"/>
      <c r="E62" s="51"/>
      <c r="F62" s="39" t="str">
        <f t="shared" si="1"/>
        <v/>
      </c>
      <c r="G62" s="52"/>
      <c r="H62" s="59"/>
      <c r="I62" s="50"/>
      <c r="J62" s="53"/>
    </row>
    <row r="63" spans="2:10" ht="18" customHeight="1" x14ac:dyDescent="0.25">
      <c r="B63" s="54"/>
      <c r="C63" s="55"/>
      <c r="D63" s="55"/>
      <c r="E63" s="56"/>
      <c r="F63" s="44" t="str">
        <f t="shared" si="1"/>
        <v/>
      </c>
      <c r="G63" s="60"/>
      <c r="H63" s="57"/>
      <c r="I63" s="55"/>
      <c r="J63" s="58"/>
    </row>
    <row r="64" spans="2:10" ht="18" customHeight="1" x14ac:dyDescent="0.25">
      <c r="B64" s="49"/>
      <c r="C64" s="50"/>
      <c r="D64" s="50"/>
      <c r="E64" s="51"/>
      <c r="F64" s="39" t="str">
        <f t="shared" si="1"/>
        <v/>
      </c>
      <c r="G64" s="52"/>
      <c r="H64" s="59"/>
      <c r="I64" s="50"/>
      <c r="J64" s="53"/>
    </row>
    <row r="65" spans="2:10" ht="18" customHeight="1" x14ac:dyDescent="0.25">
      <c r="B65" s="54"/>
      <c r="C65" s="55"/>
      <c r="D65" s="55"/>
      <c r="E65" s="56"/>
      <c r="F65" s="44" t="str">
        <f t="shared" si="1"/>
        <v/>
      </c>
      <c r="G65" s="60"/>
      <c r="H65" s="57"/>
      <c r="I65" s="55"/>
      <c r="J65" s="58"/>
    </row>
    <row r="66" spans="2:10" ht="18" customHeight="1" x14ac:dyDescent="0.25">
      <c r="B66" s="49"/>
      <c r="C66" s="50"/>
      <c r="D66" s="50"/>
      <c r="E66" s="51"/>
      <c r="F66" s="39" t="str">
        <f t="shared" si="1"/>
        <v/>
      </c>
      <c r="G66" s="52"/>
      <c r="H66" s="59"/>
      <c r="I66" s="50"/>
      <c r="J66" s="53"/>
    </row>
    <row r="67" spans="2:10" ht="18" customHeight="1" x14ac:dyDescent="0.25">
      <c r="B67" s="54"/>
      <c r="C67" s="55"/>
      <c r="D67" s="55"/>
      <c r="E67" s="56"/>
      <c r="F67" s="44" t="str">
        <f t="shared" si="1"/>
        <v/>
      </c>
      <c r="G67" s="60"/>
      <c r="H67" s="57"/>
      <c r="I67" s="55"/>
      <c r="J67" s="58"/>
    </row>
    <row r="68" spans="2:10" ht="18" customHeight="1" x14ac:dyDescent="0.25">
      <c r="B68" s="49"/>
      <c r="C68" s="50"/>
      <c r="D68" s="50"/>
      <c r="E68" s="51"/>
      <c r="F68" s="39" t="str">
        <f t="shared" si="1"/>
        <v/>
      </c>
      <c r="G68" s="52"/>
      <c r="H68" s="59"/>
      <c r="I68" s="50"/>
      <c r="J68" s="53"/>
    </row>
    <row r="69" spans="2:10" ht="18" customHeight="1" x14ac:dyDescent="0.25">
      <c r="B69" s="54"/>
      <c r="C69" s="55"/>
      <c r="D69" s="55"/>
      <c r="E69" s="56"/>
      <c r="F69" s="44" t="str">
        <f t="shared" si="1"/>
        <v/>
      </c>
      <c r="G69" s="60"/>
      <c r="H69" s="57"/>
      <c r="I69" s="55"/>
      <c r="J69" s="58"/>
    </row>
    <row r="70" spans="2:10" ht="18" customHeight="1" x14ac:dyDescent="0.25">
      <c r="B70" s="49"/>
      <c r="C70" s="50"/>
      <c r="D70" s="50"/>
      <c r="E70" s="51"/>
      <c r="F70" s="39" t="str">
        <f t="shared" ref="F70:F101" si="2">IF(E70="","",IF(E70&lt;Uebersicht_Hypo,"Unterzuckerung",IF(E70&lt;Uebersicht_Low,"Niedrig",IF(E70&lt;=Uebersicht_High,"Im Zielbereich",IF(E70&lt;=Uebersicht_High+40,"Erhöht","Hoch")))))</f>
        <v/>
      </c>
      <c r="G70" s="52"/>
      <c r="H70" s="59"/>
      <c r="I70" s="50"/>
      <c r="J70" s="53"/>
    </row>
    <row r="71" spans="2:10" ht="18" customHeight="1" x14ac:dyDescent="0.25">
      <c r="B71" s="54"/>
      <c r="C71" s="55"/>
      <c r="D71" s="55"/>
      <c r="E71" s="56"/>
      <c r="F71" s="44" t="str">
        <f t="shared" si="2"/>
        <v/>
      </c>
      <c r="G71" s="60"/>
      <c r="H71" s="57"/>
      <c r="I71" s="55"/>
      <c r="J71" s="58"/>
    </row>
  </sheetData>
  <autoFilter ref="B5:J71" xr:uid="{00000000-0009-0000-0000-000001000000}"/>
  <mergeCells count="2">
    <mergeCell ref="B2:J2"/>
    <mergeCell ref="B3:J3"/>
  </mergeCells>
  <conditionalFormatting sqref="E6:E71">
    <cfRule type="expression" dxfId="6" priority="7">
      <formula>AND(E6&lt;&gt;"",E6&lt;Uebersicht_Hypo)</formula>
    </cfRule>
    <cfRule type="expression" dxfId="5" priority="8">
      <formula>AND(E6&lt;&gt;"",E6&gt;Uebersicht_High+40)</formula>
    </cfRule>
  </conditionalFormatting>
  <conditionalFormatting sqref="F6:F71">
    <cfRule type="cellIs" dxfId="4" priority="2" operator="equal">
      <formula>"Unterzuckerung"</formula>
    </cfRule>
    <cfRule type="cellIs" dxfId="3" priority="3" operator="equal">
      <formula>"Niedrig"</formula>
    </cfRule>
    <cfRule type="cellIs" dxfId="2" priority="4" operator="equal">
      <formula>"Im Zielbereich"</formula>
    </cfRule>
    <cfRule type="cellIs" dxfId="1" priority="5" operator="equal">
      <formula>"Erhöht"</formula>
    </cfRule>
    <cfRule type="cellIs" dxfId="0" priority="6" operator="equal">
      <formula>"Hoch"</formula>
    </cfRule>
  </conditionalFormatting>
  <printOptions horizontalCentered="1"/>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2">
        <x14:dataValidation type="list" allowBlank="1" xr:uid="{00000000-0002-0000-0100-000000000000}">
          <x14:formula1>
            <xm:f>Listen!$A$3:$A$11</xm:f>
          </x14:formula1>
          <x14:formula2>
            <xm:f>0</xm:f>
          </x14:formula2>
          <xm:sqref>D6:D71</xm:sqref>
        </x14:dataValidation>
        <x14:dataValidation type="list" allowBlank="1" xr:uid="{00000000-0002-0000-0100-000001000000}">
          <x14:formula1>
            <xm:f>Listen!$B$3:$B$6</xm:f>
          </x14:formula1>
          <x14:formula2>
            <xm:f>0</xm:f>
          </x14:formula2>
          <xm:sqref>I6:I71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FC2C6"/>
    <pageSetUpPr fitToPage="1"/>
  </sheetPr>
  <dimension ref="B2:H18"/>
  <sheetViews>
    <sheetView showGridLines="0" zoomScaleNormal="100" workbookViewId="0"/>
  </sheetViews>
  <sheetFormatPr baseColWidth="10" defaultColWidth="8.7109375" defaultRowHeight="15" x14ac:dyDescent="0.25"/>
  <cols>
    <col min="1" max="1" width="2" customWidth="1"/>
    <col min="2" max="2" width="16" customWidth="1"/>
    <col min="3" max="8" width="14" customWidth="1"/>
  </cols>
  <sheetData>
    <row r="2" spans="2:8" ht="25.5" customHeight="1" x14ac:dyDescent="0.25">
      <c r="B2" s="89" t="s">
        <v>117</v>
      </c>
      <c r="C2" s="89"/>
      <c r="D2" s="89"/>
      <c r="E2" s="89"/>
      <c r="F2" s="89"/>
      <c r="G2" s="89"/>
      <c r="H2" s="89"/>
    </row>
    <row r="3" spans="2:8" x14ac:dyDescent="0.25">
      <c r="B3" s="90" t="s">
        <v>118</v>
      </c>
      <c r="C3" s="90"/>
      <c r="D3" s="90"/>
      <c r="E3" s="90"/>
      <c r="F3" s="90"/>
      <c r="G3" s="90"/>
      <c r="H3" s="90"/>
    </row>
    <row r="5" spans="2:8" ht="25.5" customHeight="1" x14ac:dyDescent="0.25">
      <c r="B5" s="48" t="s">
        <v>119</v>
      </c>
      <c r="C5" s="48" t="s">
        <v>40</v>
      </c>
      <c r="D5" s="48" t="s">
        <v>120</v>
      </c>
      <c r="E5" s="48" t="s">
        <v>121</v>
      </c>
      <c r="F5" s="48" t="s">
        <v>122</v>
      </c>
      <c r="G5" s="48" t="s">
        <v>123</v>
      </c>
    </row>
    <row r="6" spans="2:8" x14ac:dyDescent="0.25">
      <c r="B6" s="61" t="s">
        <v>124</v>
      </c>
      <c r="C6" s="62">
        <f>IF(F6=0,"–",AVERAGEIFS(Tagebuch!$E$6:$E$71,Tagebuch!$B$6:$B$71,"&gt;="&amp;DATE(2026,1,1),Tagebuch!$B$6:$B$71,"&lt;"&amp;DATE(2026,2,1)))</f>
        <v>121.41666666666667</v>
      </c>
      <c r="D6" s="62">
        <f>IF(F6=0,"–",_xlfn.MINIFS(Tagebuch!$E$6:$E$71,Tagebuch!$B$6:$B$71,"&gt;="&amp;DATE(2026,1,1),Tagebuch!$B$6:$B$71,"&lt;"&amp;DATE(2026,2,1)))</f>
        <v>64</v>
      </c>
      <c r="E6" s="62">
        <f>IF(F6=0,"–",_xlfn.MAXIFS(Tagebuch!$E$6:$E$71,Tagebuch!$B$6:$B$71,"&gt;="&amp;DATE(2026,1,1),Tagebuch!$B$6:$B$71,"&lt;"&amp;DATE(2026,2,1)))</f>
        <v>183</v>
      </c>
      <c r="F6" s="63">
        <f>COUNTIFS(Tagebuch!$B$6:$B$71,"&gt;="&amp;DATE(2026,1,1),Tagebuch!$B$6:$B$71,"&lt;"&amp;DATE(2026,2,1))</f>
        <v>48</v>
      </c>
      <c r="G6" s="64">
        <f>IF(F6=0,"–",SUMPRODUCT(--(Tagebuch!$B$6:$B$71&gt;=DATE(2026,1,1)),--(Tagebuch!$B$6:$B$71&lt;DATE(2026,2,1)),--(Tagebuch!$E$6:$E$71&gt;=Uebersicht_Low),--(Tagebuch!$E$6:$E$71&lt;=Uebersicht_High))/F6)</f>
        <v>0.6875</v>
      </c>
    </row>
    <row r="7" spans="2:8" x14ac:dyDescent="0.25">
      <c r="B7" s="65" t="s">
        <v>125</v>
      </c>
      <c r="C7" s="66" t="str">
        <f>IF(F7=0,"–",AVERAGEIFS(Tagebuch!$E$6:$E$71,Tagebuch!$B$6:$B$71,"&gt;="&amp;DATE(2026,2,1),Tagebuch!$B$6:$B$71,"&lt;"&amp;DATE(2026,3,1)))</f>
        <v>–</v>
      </c>
      <c r="D7" s="66" t="str">
        <f>IF(F7=0,"–",_xlfn.MINIFS(Tagebuch!$E$6:$E$71,Tagebuch!$B$6:$B$71,"&gt;="&amp;DATE(2026,2,1),Tagebuch!$B$6:$B$71,"&lt;"&amp;DATE(2026,3,1)))</f>
        <v>–</v>
      </c>
      <c r="E7" s="66" t="str">
        <f>IF(F7=0,"–",_xlfn.MAXIFS(Tagebuch!$E$6:$E$71,Tagebuch!$B$6:$B$71,"&gt;="&amp;DATE(2026,2,1),Tagebuch!$B$6:$B$71,"&lt;"&amp;DATE(2026,3,1)))</f>
        <v>–</v>
      </c>
      <c r="F7" s="67">
        <f>COUNTIFS(Tagebuch!$B$6:$B$71,"&gt;="&amp;DATE(2026,2,1),Tagebuch!$B$6:$B$71,"&lt;"&amp;DATE(2026,3,1))</f>
        <v>0</v>
      </c>
      <c r="G7" s="68" t="str">
        <f>IF(F7=0,"–",SUMPRODUCT(--(Tagebuch!$B$6:$B$71&gt;=DATE(2026,2,1)),--(Tagebuch!$B$6:$B$71&lt;DATE(2026,3,1)),--(Tagebuch!$E$6:$E$71&gt;=Uebersicht_Low),--(Tagebuch!$E$6:$E$71&lt;=Uebersicht_High))/F7)</f>
        <v>–</v>
      </c>
    </row>
    <row r="8" spans="2:8" x14ac:dyDescent="0.25">
      <c r="B8" s="61" t="s">
        <v>126</v>
      </c>
      <c r="C8" s="62" t="str">
        <f>IF(F8=0,"–",AVERAGEIFS(Tagebuch!$E$6:$E$71,Tagebuch!$B$6:$B$71,"&gt;="&amp;DATE(2026,3,1),Tagebuch!$B$6:$B$71,"&lt;"&amp;DATE(2026,4,1)))</f>
        <v>–</v>
      </c>
      <c r="D8" s="62" t="str">
        <f>IF(F8=0,"–",_xlfn.MINIFS(Tagebuch!$E$6:$E$71,Tagebuch!$B$6:$B$71,"&gt;="&amp;DATE(2026,3,1),Tagebuch!$B$6:$B$71,"&lt;"&amp;DATE(2026,4,1)))</f>
        <v>–</v>
      </c>
      <c r="E8" s="62" t="str">
        <f>IF(F8=0,"–",_xlfn.MAXIFS(Tagebuch!$E$6:$E$71,Tagebuch!$B$6:$B$71,"&gt;="&amp;DATE(2026,3,1),Tagebuch!$B$6:$B$71,"&lt;"&amp;DATE(2026,4,1)))</f>
        <v>–</v>
      </c>
      <c r="F8" s="63">
        <f>COUNTIFS(Tagebuch!$B$6:$B$71,"&gt;="&amp;DATE(2026,3,1),Tagebuch!$B$6:$B$71,"&lt;"&amp;DATE(2026,4,1))</f>
        <v>0</v>
      </c>
      <c r="G8" s="64" t="str">
        <f>IF(F8=0,"–",SUMPRODUCT(--(Tagebuch!$B$6:$B$71&gt;=DATE(2026,3,1)),--(Tagebuch!$B$6:$B$71&lt;DATE(2026,4,1)),--(Tagebuch!$E$6:$E$71&gt;=Uebersicht_Low),--(Tagebuch!$E$6:$E$71&lt;=Uebersicht_High))/F8)</f>
        <v>–</v>
      </c>
    </row>
    <row r="9" spans="2:8" x14ac:dyDescent="0.25">
      <c r="B9" s="65" t="s">
        <v>127</v>
      </c>
      <c r="C9" s="66" t="str">
        <f>IF(F9=0,"–",AVERAGEIFS(Tagebuch!$E$6:$E$71,Tagebuch!$B$6:$B$71,"&gt;="&amp;DATE(2026,4,1),Tagebuch!$B$6:$B$71,"&lt;"&amp;DATE(2026,5,1)))</f>
        <v>–</v>
      </c>
      <c r="D9" s="66" t="str">
        <f>IF(F9=0,"–",_xlfn.MINIFS(Tagebuch!$E$6:$E$71,Tagebuch!$B$6:$B$71,"&gt;="&amp;DATE(2026,4,1),Tagebuch!$B$6:$B$71,"&lt;"&amp;DATE(2026,5,1)))</f>
        <v>–</v>
      </c>
      <c r="E9" s="66" t="str">
        <f>IF(F9=0,"–",_xlfn.MAXIFS(Tagebuch!$E$6:$E$71,Tagebuch!$B$6:$B$71,"&gt;="&amp;DATE(2026,4,1),Tagebuch!$B$6:$B$71,"&lt;"&amp;DATE(2026,5,1)))</f>
        <v>–</v>
      </c>
      <c r="F9" s="67">
        <f>COUNTIFS(Tagebuch!$B$6:$B$71,"&gt;="&amp;DATE(2026,4,1),Tagebuch!$B$6:$B$71,"&lt;"&amp;DATE(2026,5,1))</f>
        <v>0</v>
      </c>
      <c r="G9" s="68" t="str">
        <f>IF(F9=0,"–",SUMPRODUCT(--(Tagebuch!$B$6:$B$71&gt;=DATE(2026,4,1)),--(Tagebuch!$B$6:$B$71&lt;DATE(2026,5,1)),--(Tagebuch!$E$6:$E$71&gt;=Uebersicht_Low),--(Tagebuch!$E$6:$E$71&lt;=Uebersicht_High))/F9)</f>
        <v>–</v>
      </c>
    </row>
    <row r="10" spans="2:8" x14ac:dyDescent="0.25">
      <c r="B10" s="61" t="s">
        <v>128</v>
      </c>
      <c r="C10" s="62" t="str">
        <f>IF(F10=0,"–",AVERAGEIFS(Tagebuch!$E$6:$E$71,Tagebuch!$B$6:$B$71,"&gt;="&amp;DATE(2026,5,1),Tagebuch!$B$6:$B$71,"&lt;"&amp;DATE(2026,6,1)))</f>
        <v>–</v>
      </c>
      <c r="D10" s="62" t="str">
        <f>IF(F10=0,"–",_xlfn.MINIFS(Tagebuch!$E$6:$E$71,Tagebuch!$B$6:$B$71,"&gt;="&amp;DATE(2026,5,1),Tagebuch!$B$6:$B$71,"&lt;"&amp;DATE(2026,6,1)))</f>
        <v>–</v>
      </c>
      <c r="E10" s="62" t="str">
        <f>IF(F10=0,"–",_xlfn.MAXIFS(Tagebuch!$E$6:$E$71,Tagebuch!$B$6:$B$71,"&gt;="&amp;DATE(2026,5,1),Tagebuch!$B$6:$B$71,"&lt;"&amp;DATE(2026,6,1)))</f>
        <v>–</v>
      </c>
      <c r="F10" s="63">
        <f>COUNTIFS(Tagebuch!$B$6:$B$71,"&gt;="&amp;DATE(2026,5,1),Tagebuch!$B$6:$B$71,"&lt;"&amp;DATE(2026,6,1))</f>
        <v>0</v>
      </c>
      <c r="G10" s="64" t="str">
        <f>IF(F10=0,"–",SUMPRODUCT(--(Tagebuch!$B$6:$B$71&gt;=DATE(2026,5,1)),--(Tagebuch!$B$6:$B$71&lt;DATE(2026,6,1)),--(Tagebuch!$E$6:$E$71&gt;=Uebersicht_Low),--(Tagebuch!$E$6:$E$71&lt;=Uebersicht_High))/F10)</f>
        <v>–</v>
      </c>
    </row>
    <row r="11" spans="2:8" x14ac:dyDescent="0.25">
      <c r="B11" s="65" t="s">
        <v>129</v>
      </c>
      <c r="C11" s="66" t="str">
        <f>IF(F11=0,"–",AVERAGEIFS(Tagebuch!$E$6:$E$71,Tagebuch!$B$6:$B$71,"&gt;="&amp;DATE(2026,6,1),Tagebuch!$B$6:$B$71,"&lt;"&amp;DATE(2026,7,1)))</f>
        <v>–</v>
      </c>
      <c r="D11" s="66" t="str">
        <f>IF(F11=0,"–",_xlfn.MINIFS(Tagebuch!$E$6:$E$71,Tagebuch!$B$6:$B$71,"&gt;="&amp;DATE(2026,6,1),Tagebuch!$B$6:$B$71,"&lt;"&amp;DATE(2026,7,1)))</f>
        <v>–</v>
      </c>
      <c r="E11" s="66" t="str">
        <f>IF(F11=0,"–",_xlfn.MAXIFS(Tagebuch!$E$6:$E$71,Tagebuch!$B$6:$B$71,"&gt;="&amp;DATE(2026,6,1),Tagebuch!$B$6:$B$71,"&lt;"&amp;DATE(2026,7,1)))</f>
        <v>–</v>
      </c>
      <c r="F11" s="67">
        <f>COUNTIFS(Tagebuch!$B$6:$B$71,"&gt;="&amp;DATE(2026,6,1),Tagebuch!$B$6:$B$71,"&lt;"&amp;DATE(2026,7,1))</f>
        <v>0</v>
      </c>
      <c r="G11" s="68" t="str">
        <f>IF(F11=0,"–",SUMPRODUCT(--(Tagebuch!$B$6:$B$71&gt;=DATE(2026,6,1)),--(Tagebuch!$B$6:$B$71&lt;DATE(2026,7,1)),--(Tagebuch!$E$6:$E$71&gt;=Uebersicht_Low),--(Tagebuch!$E$6:$E$71&lt;=Uebersicht_High))/F11)</f>
        <v>–</v>
      </c>
    </row>
    <row r="12" spans="2:8" x14ac:dyDescent="0.25">
      <c r="B12" s="61" t="s">
        <v>130</v>
      </c>
      <c r="C12" s="62" t="str">
        <f>IF(F12=0,"–",AVERAGEIFS(Tagebuch!$E$6:$E$71,Tagebuch!$B$6:$B$71,"&gt;="&amp;DATE(2026,7,1),Tagebuch!$B$6:$B$71,"&lt;"&amp;DATE(2026,8,1)))</f>
        <v>–</v>
      </c>
      <c r="D12" s="62" t="str">
        <f>IF(F12=0,"–",_xlfn.MINIFS(Tagebuch!$E$6:$E$71,Tagebuch!$B$6:$B$71,"&gt;="&amp;DATE(2026,7,1),Tagebuch!$B$6:$B$71,"&lt;"&amp;DATE(2026,8,1)))</f>
        <v>–</v>
      </c>
      <c r="E12" s="62" t="str">
        <f>IF(F12=0,"–",_xlfn.MAXIFS(Tagebuch!$E$6:$E$71,Tagebuch!$B$6:$B$71,"&gt;="&amp;DATE(2026,7,1),Tagebuch!$B$6:$B$71,"&lt;"&amp;DATE(2026,8,1)))</f>
        <v>–</v>
      </c>
      <c r="F12" s="63">
        <f>COUNTIFS(Tagebuch!$B$6:$B$71,"&gt;="&amp;DATE(2026,7,1),Tagebuch!$B$6:$B$71,"&lt;"&amp;DATE(2026,8,1))</f>
        <v>0</v>
      </c>
      <c r="G12" s="64" t="str">
        <f>IF(F12=0,"–",SUMPRODUCT(--(Tagebuch!$B$6:$B$71&gt;=DATE(2026,7,1)),--(Tagebuch!$B$6:$B$71&lt;DATE(2026,8,1)),--(Tagebuch!$E$6:$E$71&gt;=Uebersicht_Low),--(Tagebuch!$E$6:$E$71&lt;=Uebersicht_High))/F12)</f>
        <v>–</v>
      </c>
    </row>
    <row r="13" spans="2:8" x14ac:dyDescent="0.25">
      <c r="B13" s="65" t="s">
        <v>131</v>
      </c>
      <c r="C13" s="66" t="str">
        <f>IF(F13=0,"–",AVERAGEIFS(Tagebuch!$E$6:$E$71,Tagebuch!$B$6:$B$71,"&gt;="&amp;DATE(2026,8,1),Tagebuch!$B$6:$B$71,"&lt;"&amp;DATE(2026,9,1)))</f>
        <v>–</v>
      </c>
      <c r="D13" s="66" t="str">
        <f>IF(F13=0,"–",_xlfn.MINIFS(Tagebuch!$E$6:$E$71,Tagebuch!$B$6:$B$71,"&gt;="&amp;DATE(2026,8,1),Tagebuch!$B$6:$B$71,"&lt;"&amp;DATE(2026,9,1)))</f>
        <v>–</v>
      </c>
      <c r="E13" s="66" t="str">
        <f>IF(F13=0,"–",_xlfn.MAXIFS(Tagebuch!$E$6:$E$71,Tagebuch!$B$6:$B$71,"&gt;="&amp;DATE(2026,8,1),Tagebuch!$B$6:$B$71,"&lt;"&amp;DATE(2026,9,1)))</f>
        <v>–</v>
      </c>
      <c r="F13" s="67">
        <f>COUNTIFS(Tagebuch!$B$6:$B$71,"&gt;="&amp;DATE(2026,8,1),Tagebuch!$B$6:$B$71,"&lt;"&amp;DATE(2026,9,1))</f>
        <v>0</v>
      </c>
      <c r="G13" s="68" t="str">
        <f>IF(F13=0,"–",SUMPRODUCT(--(Tagebuch!$B$6:$B$71&gt;=DATE(2026,8,1)),--(Tagebuch!$B$6:$B$71&lt;DATE(2026,9,1)),--(Tagebuch!$E$6:$E$71&gt;=Uebersicht_Low),--(Tagebuch!$E$6:$E$71&lt;=Uebersicht_High))/F13)</f>
        <v>–</v>
      </c>
    </row>
    <row r="14" spans="2:8" x14ac:dyDescent="0.25">
      <c r="B14" s="61" t="s">
        <v>132</v>
      </c>
      <c r="C14" s="62" t="str">
        <f>IF(F14=0,"–",AVERAGEIFS(Tagebuch!$E$6:$E$71,Tagebuch!$B$6:$B$71,"&gt;="&amp;DATE(2026,9,1),Tagebuch!$B$6:$B$71,"&lt;"&amp;DATE(2026,10,1)))</f>
        <v>–</v>
      </c>
      <c r="D14" s="62" t="str">
        <f>IF(F14=0,"–",_xlfn.MINIFS(Tagebuch!$E$6:$E$71,Tagebuch!$B$6:$B$71,"&gt;="&amp;DATE(2026,9,1),Tagebuch!$B$6:$B$71,"&lt;"&amp;DATE(2026,10,1)))</f>
        <v>–</v>
      </c>
      <c r="E14" s="62" t="str">
        <f>IF(F14=0,"–",_xlfn.MAXIFS(Tagebuch!$E$6:$E$71,Tagebuch!$B$6:$B$71,"&gt;="&amp;DATE(2026,9,1),Tagebuch!$B$6:$B$71,"&lt;"&amp;DATE(2026,10,1)))</f>
        <v>–</v>
      </c>
      <c r="F14" s="63">
        <f>COUNTIFS(Tagebuch!$B$6:$B$71,"&gt;="&amp;DATE(2026,9,1),Tagebuch!$B$6:$B$71,"&lt;"&amp;DATE(2026,10,1))</f>
        <v>0</v>
      </c>
      <c r="G14" s="64" t="str">
        <f>IF(F14=0,"–",SUMPRODUCT(--(Tagebuch!$B$6:$B$71&gt;=DATE(2026,9,1)),--(Tagebuch!$B$6:$B$71&lt;DATE(2026,10,1)),--(Tagebuch!$E$6:$E$71&gt;=Uebersicht_Low),--(Tagebuch!$E$6:$E$71&lt;=Uebersicht_High))/F14)</f>
        <v>–</v>
      </c>
    </row>
    <row r="15" spans="2:8" x14ac:dyDescent="0.25">
      <c r="B15" s="65" t="s">
        <v>133</v>
      </c>
      <c r="C15" s="66" t="str">
        <f>IF(F15=0,"–",AVERAGEIFS(Tagebuch!$E$6:$E$71,Tagebuch!$B$6:$B$71,"&gt;="&amp;DATE(2026,10,1),Tagebuch!$B$6:$B$71,"&lt;"&amp;DATE(2026,11,1)))</f>
        <v>–</v>
      </c>
      <c r="D15" s="66" t="str">
        <f>IF(F15=0,"–",_xlfn.MINIFS(Tagebuch!$E$6:$E$71,Tagebuch!$B$6:$B$71,"&gt;="&amp;DATE(2026,10,1),Tagebuch!$B$6:$B$71,"&lt;"&amp;DATE(2026,11,1)))</f>
        <v>–</v>
      </c>
      <c r="E15" s="66" t="str">
        <f>IF(F15=0,"–",_xlfn.MAXIFS(Tagebuch!$E$6:$E$71,Tagebuch!$B$6:$B$71,"&gt;="&amp;DATE(2026,10,1),Tagebuch!$B$6:$B$71,"&lt;"&amp;DATE(2026,11,1)))</f>
        <v>–</v>
      </c>
      <c r="F15" s="67">
        <f>COUNTIFS(Tagebuch!$B$6:$B$71,"&gt;="&amp;DATE(2026,10,1),Tagebuch!$B$6:$B$71,"&lt;"&amp;DATE(2026,11,1))</f>
        <v>0</v>
      </c>
      <c r="G15" s="68" t="str">
        <f>IF(F15=0,"–",SUMPRODUCT(--(Tagebuch!$B$6:$B$71&gt;=DATE(2026,10,1)),--(Tagebuch!$B$6:$B$71&lt;DATE(2026,11,1)),--(Tagebuch!$E$6:$E$71&gt;=Uebersicht_Low),--(Tagebuch!$E$6:$E$71&lt;=Uebersicht_High))/F15)</f>
        <v>–</v>
      </c>
    </row>
    <row r="16" spans="2:8" x14ac:dyDescent="0.25">
      <c r="B16" s="61" t="s">
        <v>134</v>
      </c>
      <c r="C16" s="62" t="str">
        <f>IF(F16=0,"–",AVERAGEIFS(Tagebuch!$E$6:$E$71,Tagebuch!$B$6:$B$71,"&gt;="&amp;DATE(2026,11,1),Tagebuch!$B$6:$B$71,"&lt;"&amp;DATE(2026,12,1)))</f>
        <v>–</v>
      </c>
      <c r="D16" s="62" t="str">
        <f>IF(F16=0,"–",_xlfn.MINIFS(Tagebuch!$E$6:$E$71,Tagebuch!$B$6:$B$71,"&gt;="&amp;DATE(2026,11,1),Tagebuch!$B$6:$B$71,"&lt;"&amp;DATE(2026,12,1)))</f>
        <v>–</v>
      </c>
      <c r="E16" s="62" t="str">
        <f>IF(F16=0,"–",_xlfn.MAXIFS(Tagebuch!$E$6:$E$71,Tagebuch!$B$6:$B$71,"&gt;="&amp;DATE(2026,11,1),Tagebuch!$B$6:$B$71,"&lt;"&amp;DATE(2026,12,1)))</f>
        <v>–</v>
      </c>
      <c r="F16" s="63">
        <f>COUNTIFS(Tagebuch!$B$6:$B$71,"&gt;="&amp;DATE(2026,11,1),Tagebuch!$B$6:$B$71,"&lt;"&amp;DATE(2026,12,1))</f>
        <v>0</v>
      </c>
      <c r="G16" s="64" t="str">
        <f>IF(F16=0,"–",SUMPRODUCT(--(Tagebuch!$B$6:$B$71&gt;=DATE(2026,11,1)),--(Tagebuch!$B$6:$B$71&lt;DATE(2026,12,1)),--(Tagebuch!$E$6:$E$71&gt;=Uebersicht_Low),--(Tagebuch!$E$6:$E$71&lt;=Uebersicht_High))/F16)</f>
        <v>–</v>
      </c>
    </row>
    <row r="17" spans="2:7" x14ac:dyDescent="0.25">
      <c r="B17" s="65" t="s">
        <v>135</v>
      </c>
      <c r="C17" s="66" t="str">
        <f>IF(F17=0,"–",AVERAGEIFS(Tagebuch!$E$6:$E$71,Tagebuch!$B$6:$B$71,"&gt;="&amp;DATE(2026,12,1),Tagebuch!$B$6:$B$71,"&lt;"&amp;DATE(2026,13,1)))</f>
        <v>–</v>
      </c>
      <c r="D17" s="66" t="str">
        <f>IF(F17=0,"–",_xlfn.MINIFS(Tagebuch!$E$6:$E$71,Tagebuch!$B$6:$B$71,"&gt;="&amp;DATE(2026,12,1),Tagebuch!$B$6:$B$71,"&lt;"&amp;DATE(2026,13,1)))</f>
        <v>–</v>
      </c>
      <c r="E17" s="66" t="str">
        <f>IF(F17=0,"–",_xlfn.MAXIFS(Tagebuch!$E$6:$E$71,Tagebuch!$B$6:$B$71,"&gt;="&amp;DATE(2026,12,1),Tagebuch!$B$6:$B$71,"&lt;"&amp;DATE(2026,13,1)))</f>
        <v>–</v>
      </c>
      <c r="F17" s="67">
        <f>COUNTIFS(Tagebuch!$B$6:$B$71,"&gt;="&amp;DATE(2026,12,1),Tagebuch!$B$6:$B$71,"&lt;"&amp;DATE(2026,13,1))</f>
        <v>0</v>
      </c>
      <c r="G17" s="68" t="str">
        <f>IF(F17=0,"–",SUMPRODUCT(--(Tagebuch!$B$6:$B$71&gt;=DATE(2026,12,1)),--(Tagebuch!$B$6:$B$71&lt;DATE(2026,13,1)),--(Tagebuch!$E$6:$E$71&gt;=Uebersicht_Low),--(Tagebuch!$E$6:$E$71&lt;=Uebersicht_High))/F17)</f>
        <v>–</v>
      </c>
    </row>
    <row r="18" spans="2:7" x14ac:dyDescent="0.25">
      <c r="B18" s="69" t="s">
        <v>136</v>
      </c>
      <c r="C18" s="70">
        <f>IFERROR(AVERAGE(Tagebuch!$E$6:$E$71),"–")</f>
        <v>121.41666666666667</v>
      </c>
      <c r="D18" s="70">
        <f>IFERROR(MIN(Tagebuch!$E$6:$E$71),"–")</f>
        <v>64</v>
      </c>
      <c r="E18" s="70">
        <f>IFERROR(MAX(Tagebuch!$E$6:$E$71),"–")</f>
        <v>183</v>
      </c>
      <c r="F18" s="71">
        <f>COUNT(Tagebuch!$E$6:$E$71)</f>
        <v>48</v>
      </c>
      <c r="G18" s="72">
        <f>IFERROR(SUMPRODUCT(--(Tagebuch!$E$6:$E$71&gt;=Uebersicht_Low),--(Tagebuch!$E$6:$E$71&lt;=Uebersicht_High),--(Tagebuch!$E$6:$E$71&lt;&gt;""))/MAX(1,F18),0)</f>
        <v>0.6875</v>
      </c>
    </row>
  </sheetData>
  <mergeCells count="2">
    <mergeCell ref="B2:H2"/>
    <mergeCell ref="B3:H3"/>
  </mergeCells>
  <conditionalFormatting sqref="C6:C17">
    <cfRule type="colorScale" priority="2">
      <colorScale>
        <cfvo type="num" val="70"/>
        <cfvo type="num" val="140"/>
        <cfvo type="num" val="200"/>
        <color rgb="FFDBEFE3"/>
        <color rgb="FFFBEFD1"/>
        <color rgb="FFFBE3DB"/>
      </colorScale>
    </cfRule>
  </conditionalFormatting>
  <printOptions horizontalCentered="1"/>
  <pageMargins left="0.75" right="0.75" top="1" bottom="1" header="0.511811023622047" footer="0.511811023622047"/>
  <pageSetup fitToHeight="0"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E8385"/>
    <pageSetUpPr fitToPage="1"/>
  </sheetPr>
  <dimension ref="B2:C33"/>
  <sheetViews>
    <sheetView showGridLines="0" zoomScale="110" zoomScaleNormal="110" workbookViewId="0"/>
  </sheetViews>
  <sheetFormatPr baseColWidth="10" defaultColWidth="8.7109375" defaultRowHeight="15" x14ac:dyDescent="0.25"/>
  <cols>
    <col min="1" max="1" width="2" customWidth="1"/>
    <col min="2" max="2" width="26" customWidth="1"/>
    <col min="3" max="3" width="80" customWidth="1"/>
    <col min="4" max="4" width="2" customWidth="1"/>
  </cols>
  <sheetData>
    <row r="2" spans="2:3" ht="33.75" customHeight="1" x14ac:dyDescent="0.25">
      <c r="B2" s="91" t="s">
        <v>137</v>
      </c>
      <c r="C2" s="91"/>
    </row>
    <row r="3" spans="2:3" ht="18" customHeight="1" x14ac:dyDescent="0.25">
      <c r="B3" s="92" t="s">
        <v>138</v>
      </c>
      <c r="C3" s="92"/>
    </row>
    <row r="5" spans="2:3" ht="17.25" x14ac:dyDescent="0.3">
      <c r="B5" s="15" t="s">
        <v>139</v>
      </c>
      <c r="C5" s="16"/>
    </row>
    <row r="7" spans="2:3" ht="51.75" customHeight="1" x14ac:dyDescent="0.25">
      <c r="B7" s="93" t="s">
        <v>140</v>
      </c>
      <c r="C7" s="93"/>
    </row>
    <row r="9" spans="2:3" ht="17.25" x14ac:dyDescent="0.3">
      <c r="B9" s="15" t="s">
        <v>141</v>
      </c>
      <c r="C9" s="16"/>
    </row>
    <row r="11" spans="2:3" ht="19.5" customHeight="1" x14ac:dyDescent="0.25">
      <c r="B11" s="34" t="s">
        <v>142</v>
      </c>
      <c r="C11" s="34" t="s">
        <v>143</v>
      </c>
    </row>
    <row r="12" spans="2:3" ht="33.75" customHeight="1" x14ac:dyDescent="0.25">
      <c r="B12" s="73" t="s">
        <v>144</v>
      </c>
      <c r="C12" s="74" t="s">
        <v>145</v>
      </c>
    </row>
    <row r="13" spans="2:3" ht="33.75" customHeight="1" x14ac:dyDescent="0.25">
      <c r="B13" s="75" t="s">
        <v>146</v>
      </c>
      <c r="C13" s="76" t="s">
        <v>147</v>
      </c>
    </row>
    <row r="14" spans="2:3" ht="33.75" customHeight="1" x14ac:dyDescent="0.25">
      <c r="B14" s="73" t="s">
        <v>148</v>
      </c>
      <c r="C14" s="74" t="s">
        <v>149</v>
      </c>
    </row>
    <row r="15" spans="2:3" ht="33.75" customHeight="1" x14ac:dyDescent="0.25">
      <c r="B15" s="75" t="s">
        <v>150</v>
      </c>
      <c r="C15" s="76" t="s">
        <v>151</v>
      </c>
    </row>
    <row r="17" spans="2:3" ht="17.25" x14ac:dyDescent="0.3">
      <c r="B17" s="15" t="s">
        <v>152</v>
      </c>
      <c r="C17" s="16"/>
    </row>
    <row r="19" spans="2:3" ht="21.75" customHeight="1" x14ac:dyDescent="0.25">
      <c r="B19" s="77" t="s">
        <v>153</v>
      </c>
      <c r="C19" s="61" t="s">
        <v>154</v>
      </c>
    </row>
    <row r="20" spans="2:3" ht="21.75" customHeight="1" x14ac:dyDescent="0.25">
      <c r="B20" s="78" t="s">
        <v>49</v>
      </c>
      <c r="C20" s="65" t="s">
        <v>155</v>
      </c>
    </row>
    <row r="21" spans="2:3" ht="21.75" customHeight="1" x14ac:dyDescent="0.25">
      <c r="B21" s="79" t="s">
        <v>51</v>
      </c>
      <c r="C21" s="61" t="s">
        <v>156</v>
      </c>
    </row>
    <row r="22" spans="2:3" ht="21.75" customHeight="1" x14ac:dyDescent="0.25">
      <c r="B22" s="80" t="s">
        <v>53</v>
      </c>
      <c r="C22" s="65" t="s">
        <v>157</v>
      </c>
    </row>
    <row r="23" spans="2:3" ht="21.75" customHeight="1" x14ac:dyDescent="0.25">
      <c r="B23" s="81" t="s">
        <v>158</v>
      </c>
      <c r="C23" s="61" t="s">
        <v>159</v>
      </c>
    </row>
    <row r="25" spans="2:3" ht="17.25" x14ac:dyDescent="0.3">
      <c r="B25" s="15" t="s">
        <v>160</v>
      </c>
      <c r="C25" s="16"/>
    </row>
    <row r="26" spans="2:3" x14ac:dyDescent="0.25">
      <c r="B26" s="17" t="s">
        <v>161</v>
      </c>
    </row>
    <row r="27" spans="2:3" ht="19.5" customHeight="1" x14ac:dyDescent="0.25">
      <c r="B27" s="34" t="s">
        <v>162</v>
      </c>
      <c r="C27" s="34" t="s">
        <v>163</v>
      </c>
    </row>
    <row r="28" spans="2:3" ht="19.5" customHeight="1" x14ac:dyDescent="0.25">
      <c r="B28" s="61" t="s">
        <v>45</v>
      </c>
      <c r="C28" s="61" t="s">
        <v>164</v>
      </c>
    </row>
    <row r="29" spans="2:3" ht="19.5" customHeight="1" x14ac:dyDescent="0.25">
      <c r="B29" s="65" t="s">
        <v>165</v>
      </c>
      <c r="C29" s="65" t="s">
        <v>166</v>
      </c>
    </row>
    <row r="30" spans="2:3" ht="19.5" customHeight="1" x14ac:dyDescent="0.25">
      <c r="B30" s="61" t="s">
        <v>167</v>
      </c>
      <c r="C30" s="61" t="s">
        <v>168</v>
      </c>
    </row>
    <row r="31" spans="2:3" ht="19.5" customHeight="1" x14ac:dyDescent="0.25">
      <c r="B31" s="65" t="s">
        <v>169</v>
      </c>
      <c r="C31" s="65" t="s">
        <v>170</v>
      </c>
    </row>
    <row r="33" spans="2:3" ht="42" customHeight="1" x14ac:dyDescent="0.25">
      <c r="B33" s="94" t="s">
        <v>171</v>
      </c>
      <c r="C33" s="94"/>
    </row>
  </sheetData>
  <mergeCells count="4">
    <mergeCell ref="B2:C2"/>
    <mergeCell ref="B3:C3"/>
    <mergeCell ref="B7:C7"/>
    <mergeCell ref="B33:C33"/>
  </mergeCells>
  <printOptions horizontalCentered="1"/>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9C9C9"/>
  </sheetPr>
  <dimension ref="A1:B11"/>
  <sheetViews>
    <sheetView zoomScaleNormal="100" workbookViewId="0"/>
  </sheetViews>
  <sheetFormatPr baseColWidth="10" defaultColWidth="8.7109375" defaultRowHeight="15" x14ac:dyDescent="0.25"/>
  <sheetData>
    <row r="1" spans="1:2" x14ac:dyDescent="0.25">
      <c r="A1" s="82" t="s">
        <v>172</v>
      </c>
    </row>
    <row r="2" spans="1:2" x14ac:dyDescent="0.25">
      <c r="A2" s="83" t="s">
        <v>39</v>
      </c>
      <c r="B2" s="83" t="s">
        <v>66</v>
      </c>
    </row>
    <row r="3" spans="1:2" x14ac:dyDescent="0.25">
      <c r="A3" t="s">
        <v>44</v>
      </c>
      <c r="B3" t="s">
        <v>69</v>
      </c>
    </row>
    <row r="4" spans="1:2" x14ac:dyDescent="0.25">
      <c r="A4" t="s">
        <v>46</v>
      </c>
      <c r="B4" t="s">
        <v>71</v>
      </c>
    </row>
    <row r="5" spans="1:2" x14ac:dyDescent="0.25">
      <c r="A5" t="s">
        <v>48</v>
      </c>
      <c r="B5" t="s">
        <v>75</v>
      </c>
    </row>
    <row r="6" spans="1:2" x14ac:dyDescent="0.25">
      <c r="A6" t="s">
        <v>50</v>
      </c>
      <c r="B6" t="s">
        <v>95</v>
      </c>
    </row>
    <row r="7" spans="1:2" x14ac:dyDescent="0.25">
      <c r="A7" t="s">
        <v>52</v>
      </c>
    </row>
    <row r="8" spans="1:2" x14ac:dyDescent="0.25">
      <c r="A8" t="s">
        <v>54</v>
      </c>
    </row>
    <row r="9" spans="1:2" x14ac:dyDescent="0.25">
      <c r="A9" t="s">
        <v>55</v>
      </c>
    </row>
    <row r="10" spans="1:2" x14ac:dyDescent="0.25">
      <c r="A10" t="s">
        <v>56</v>
      </c>
    </row>
    <row r="11" spans="1:2" x14ac:dyDescent="0.25">
      <c r="A11" t="s">
        <v>57</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Übersicht</vt:lpstr>
      <vt:lpstr>Tagebuch</vt:lpstr>
      <vt:lpstr>Monatswerte</vt:lpstr>
      <vt:lpstr>Info</vt:lpstr>
      <vt:lpstr>Listen</vt:lpstr>
      <vt:lpstr>Uebersicht_High</vt:lpstr>
      <vt:lpstr>Uebersicht_Hypo</vt:lpstr>
      <vt:lpstr>Uebersicht_Low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2026-09-29T13:29:28Z</dcterms:created>
  <dcterms:modified xsi:type="dcterms:W3CDTF">2026-09-30T05:45:06Z</dcterms:modified>
  <dc:language>en-US</dc:language>
</cp:coreProperties>
</file>