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BF8BB6F2-D21A-4327-A491-15FB4DF72A01}" xr6:coauthVersionLast="47" xr6:coauthVersionMax="47" xr10:uidLastSave="{00000000-0000-0000-0000-000000000000}"/>
  <bookViews>
    <workbookView xWindow="1380" yWindow="1380" windowWidth="25500" windowHeight="13500" tabRatio="500" xr2:uid="{00000000-000D-0000-FFFF-FFFF00000000}"/>
  </bookViews>
  <sheets>
    <sheet name="Dienstplan" sheetId="1" r:id="rId1"/>
    <sheet name="Konfiguration" sheetId="2" r:id="rId2"/>
  </sheets>
  <definedNames>
    <definedName name="Arbeitscodes">Konfiguration!$A$5:$A$9</definedName>
    <definedName name="_xlnm.Print_Titles" localSheetId="0">Dienstplan!$1:$6,Dienstplan!$A:$D</definedName>
    <definedName name="Feiertage">Konfiguration!$A$17:$A$25</definedName>
    <definedName name="Nettostunden">Konfiguration!$F$5:$F$13</definedName>
    <definedName name="Schichtcodes">Konfiguration!$A$5:$A$13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3" i="2" l="1"/>
  <c r="O25" i="1" s="1"/>
  <c r="F12" i="2"/>
  <c r="O24" i="1" s="1"/>
  <c r="F11" i="2"/>
  <c r="O23" i="1" s="1"/>
  <c r="F10" i="2"/>
  <c r="I25" i="1" s="1"/>
  <c r="F9" i="2"/>
  <c r="I24" i="1" s="1"/>
  <c r="F8" i="2"/>
  <c r="I23" i="1" s="1"/>
  <c r="F7" i="2"/>
  <c r="C25" i="1" s="1"/>
  <c r="F6" i="2"/>
  <c r="C24" i="1" s="1"/>
  <c r="F5" i="2"/>
  <c r="C23" i="1" s="1"/>
  <c r="AO18" i="1"/>
  <c r="AN18" i="1"/>
  <c r="AM18" i="1"/>
  <c r="AL18" i="1"/>
  <c r="AK18" i="1"/>
  <c r="AJ18" i="1"/>
  <c r="AO17" i="1"/>
  <c r="AN17" i="1"/>
  <c r="AM17" i="1"/>
  <c r="AL17" i="1"/>
  <c r="AK17" i="1"/>
  <c r="AJ17" i="1"/>
  <c r="AO16" i="1"/>
  <c r="AN16" i="1"/>
  <c r="AM16" i="1"/>
  <c r="AK16" i="1"/>
  <c r="AJ16" i="1"/>
  <c r="AO15" i="1"/>
  <c r="AN15" i="1"/>
  <c r="AM15" i="1"/>
  <c r="AK15" i="1"/>
  <c r="AJ15" i="1"/>
  <c r="AO14" i="1"/>
  <c r="AN14" i="1"/>
  <c r="AM14" i="1"/>
  <c r="AK14" i="1"/>
  <c r="AJ14" i="1"/>
  <c r="AL14" i="1" s="1"/>
  <c r="AO13" i="1"/>
  <c r="AN13" i="1"/>
  <c r="AM13" i="1"/>
  <c r="AK13" i="1"/>
  <c r="AJ13" i="1"/>
  <c r="AO12" i="1"/>
  <c r="AN12" i="1"/>
  <c r="AM12" i="1"/>
  <c r="AK12" i="1"/>
  <c r="AJ12" i="1"/>
  <c r="AO11" i="1"/>
  <c r="AN11" i="1"/>
  <c r="AM11" i="1"/>
  <c r="AK11" i="1"/>
  <c r="AJ11" i="1"/>
  <c r="AO10" i="1"/>
  <c r="AN10" i="1"/>
  <c r="AM10" i="1"/>
  <c r="AK10" i="1"/>
  <c r="AJ10" i="1"/>
  <c r="AL10" i="1" s="1"/>
  <c r="AO9" i="1"/>
  <c r="AN9" i="1"/>
  <c r="AM9" i="1"/>
  <c r="AK9" i="1"/>
  <c r="AJ9" i="1"/>
  <c r="AO8" i="1"/>
  <c r="AN8" i="1"/>
  <c r="AM8" i="1"/>
  <c r="AK8" i="1"/>
  <c r="AL8" i="1" s="1"/>
  <c r="AJ8" i="1"/>
  <c r="AO7" i="1"/>
  <c r="AN7" i="1"/>
  <c r="AM7" i="1"/>
  <c r="AK7" i="1"/>
  <c r="AJ7" i="1"/>
  <c r="AI5" i="1"/>
  <c r="AI19" i="1" s="1"/>
  <c r="AH5" i="1"/>
  <c r="AH19" i="1" s="1"/>
  <c r="AG5" i="1"/>
  <c r="AG20" i="1" s="1"/>
  <c r="AF5" i="1"/>
  <c r="AF20" i="1" s="1"/>
  <c r="AE5" i="1"/>
  <c r="AE20" i="1" s="1"/>
  <c r="AD5" i="1"/>
  <c r="AD20" i="1" s="1"/>
  <c r="AC5" i="1"/>
  <c r="AC20" i="1" s="1"/>
  <c r="AB5" i="1"/>
  <c r="AB20" i="1" s="1"/>
  <c r="AA5" i="1"/>
  <c r="AA6" i="1" s="1"/>
  <c r="Z5" i="1"/>
  <c r="Z6" i="1" s="1"/>
  <c r="Y5" i="1"/>
  <c r="Y6" i="1" s="1"/>
  <c r="X5" i="1"/>
  <c r="X19" i="1" s="1"/>
  <c r="W5" i="1"/>
  <c r="W19" i="1" s="1"/>
  <c r="V5" i="1"/>
  <c r="V19" i="1" s="1"/>
  <c r="U5" i="1"/>
  <c r="U19" i="1" s="1"/>
  <c r="T5" i="1"/>
  <c r="T19" i="1" s="1"/>
  <c r="S5" i="1"/>
  <c r="S19" i="1" s="1"/>
  <c r="R5" i="1"/>
  <c r="R19" i="1" s="1"/>
  <c r="Q5" i="1"/>
  <c r="Q19" i="1" s="1"/>
  <c r="P5" i="1"/>
  <c r="P19" i="1" s="1"/>
  <c r="O5" i="1"/>
  <c r="O19" i="1" s="1"/>
  <c r="N5" i="1"/>
  <c r="N19" i="1" s="1"/>
  <c r="M5" i="1"/>
  <c r="M20" i="1" s="1"/>
  <c r="L5" i="1"/>
  <c r="L20" i="1" s="1"/>
  <c r="K5" i="1"/>
  <c r="K20" i="1" s="1"/>
  <c r="J5" i="1"/>
  <c r="J20" i="1" s="1"/>
  <c r="I5" i="1"/>
  <c r="I20" i="1" s="1"/>
  <c r="H5" i="1"/>
  <c r="H20" i="1" s="1"/>
  <c r="G5" i="1"/>
  <c r="G6" i="1" s="1"/>
  <c r="F5" i="1"/>
  <c r="F6" i="1" s="1"/>
  <c r="E5" i="1"/>
  <c r="E6" i="1" s="1"/>
  <c r="AG4" i="1"/>
  <c r="Z4" i="1"/>
  <c r="E4" i="1"/>
  <c r="A1" i="1"/>
  <c r="AL15" i="1" l="1"/>
  <c r="S4" i="1"/>
  <c r="L4" i="1"/>
  <c r="AH6" i="1"/>
  <c r="AL11" i="1"/>
  <c r="AL12" i="1"/>
  <c r="AL16" i="1"/>
  <c r="AL7" i="1"/>
  <c r="AL9" i="1"/>
  <c r="AL13" i="1"/>
  <c r="H6" i="1"/>
  <c r="AB6" i="1"/>
  <c r="E19" i="1"/>
  <c r="Y19" i="1"/>
  <c r="N20" i="1"/>
  <c r="AH20" i="1"/>
  <c r="I6" i="1"/>
  <c r="AC6" i="1"/>
  <c r="F19" i="1"/>
  <c r="Z19" i="1"/>
  <c r="O20" i="1"/>
  <c r="AI20" i="1"/>
  <c r="J6" i="1"/>
  <c r="AD6" i="1"/>
  <c r="G19" i="1"/>
  <c r="AA19" i="1"/>
  <c r="P20" i="1"/>
  <c r="K6" i="1"/>
  <c r="AE6" i="1"/>
  <c r="H19" i="1"/>
  <c r="AB19" i="1"/>
  <c r="Q20" i="1"/>
  <c r="L6" i="1"/>
  <c r="AF6" i="1"/>
  <c r="I19" i="1"/>
  <c r="AC19" i="1"/>
  <c r="R20" i="1"/>
  <c r="M6" i="1"/>
  <c r="AG6" i="1"/>
  <c r="J19" i="1"/>
  <c r="AD19" i="1"/>
  <c r="S20" i="1"/>
  <c r="N6" i="1"/>
  <c r="K19" i="1"/>
  <c r="AE19" i="1"/>
  <c r="T20" i="1"/>
  <c r="O6" i="1"/>
  <c r="AI6" i="1"/>
  <c r="L19" i="1"/>
  <c r="AF19" i="1"/>
  <c r="U20" i="1"/>
  <c r="P6" i="1"/>
  <c r="M19" i="1"/>
  <c r="AG19" i="1"/>
  <c r="V20" i="1"/>
  <c r="Q6" i="1"/>
  <c r="W20" i="1"/>
  <c r="R6" i="1"/>
  <c r="X20" i="1"/>
  <c r="S6" i="1"/>
  <c r="E20" i="1"/>
  <c r="Y20" i="1"/>
  <c r="T6" i="1"/>
  <c r="F20" i="1"/>
  <c r="Z20" i="1"/>
  <c r="U6" i="1"/>
  <c r="G20" i="1"/>
  <c r="AA20" i="1"/>
  <c r="V6" i="1"/>
  <c r="W6" i="1"/>
  <c r="X6" i="1"/>
</calcChain>
</file>

<file path=xl/sharedStrings.xml><?xml version="1.0" encoding="utf-8"?>
<sst xmlns="http://schemas.openxmlformats.org/spreadsheetml/2006/main" count="391" uniqueCount="73">
  <si>
    <t>Musterbetrieb GmbH  ·  Musterstraße 1  ·  12345 Musterstadt        ‹ Firmenname / Standort hier eintragen ›</t>
  </si>
  <si>
    <t>Monat</t>
  </si>
  <si>
    <t>GEPLANTE STD</t>
  </si>
  <si>
    <t>SOLL-STD</t>
  </si>
  <si>
    <t>SALDO</t>
  </si>
  <si>
    <t>URLAUBSTAGE</t>
  </si>
  <si>
    <t>KRANKTAGE</t>
  </si>
  <si>
    <t>Jahr</t>
  </si>
  <si>
    <t>Nr.</t>
  </si>
  <si>
    <t>Mitarbeiter</t>
  </si>
  <si>
    <t>Funktion</t>
  </si>
  <si>
    <t>Wo.-Std</t>
  </si>
  <si>
    <t>Ist-Std</t>
  </si>
  <si>
    <t>Soll-Std</t>
  </si>
  <si>
    <t>Saldo</t>
  </si>
  <si>
    <t>Dienste</t>
  </si>
  <si>
    <t>Urlaub</t>
  </si>
  <si>
    <t>Krank</t>
  </si>
  <si>
    <t>Anna Bergmann</t>
  </si>
  <si>
    <t>Teamleitung</t>
  </si>
  <si>
    <t>T</t>
  </si>
  <si>
    <t>FT</t>
  </si>
  <si>
    <t>FR</t>
  </si>
  <si>
    <t>U</t>
  </si>
  <si>
    <t>Lukas Hoffmann</t>
  </si>
  <si>
    <t>Fachkraft</t>
  </si>
  <si>
    <t>F</t>
  </si>
  <si>
    <t>S</t>
  </si>
  <si>
    <t>N</t>
  </si>
  <si>
    <t>Sophie Wagner</t>
  </si>
  <si>
    <t>Mehmet Yılmaz</t>
  </si>
  <si>
    <t>Julia Schneider</t>
  </si>
  <si>
    <t>David Klein</t>
  </si>
  <si>
    <t>Aushilfe</t>
  </si>
  <si>
    <t>Laura Fischer</t>
  </si>
  <si>
    <t>Jonas Weber</t>
  </si>
  <si>
    <t>K</t>
  </si>
  <si>
    <t>Emine Demir</t>
  </si>
  <si>
    <t>Felix Braun</t>
  </si>
  <si>
    <t>Auszubildender</t>
  </si>
  <si>
    <t>FB</t>
  </si>
  <si>
    <t>Besetzung (im Dienst)</t>
  </si>
  <si>
    <t>Geplante Std / Tag</t>
  </si>
  <si>
    <t>Legende</t>
  </si>
  <si>
    <t>So funktioniert's:  Kürzel je Mitarbeiter und Tag über das Dropdown wählen. Ist-Stunden, Saldo, Dienste und Besetzung berechnen sich automatisch. Schichtzeiten und Feiertage im Blatt »Konfiguration« pflegen.</t>
  </si>
  <si>
    <t>Konfiguration – Schichtarten, Zeiten &amp; Feiertage</t>
  </si>
  <si>
    <t>Passen Sie hier Zeiten und Pausen an – die Stunden im Dienstplan aktualisieren sich automatisch. Kürzel nicht umbenennen, wenn bereits geplant wurde.</t>
  </si>
  <si>
    <t>Schichtarten</t>
  </si>
  <si>
    <t>Kürzel</t>
  </si>
  <si>
    <t>Bezeichnung</t>
  </si>
  <si>
    <t>Beginn</t>
  </si>
  <si>
    <t>Ende</t>
  </si>
  <si>
    <t>Pause (Std)</t>
  </si>
  <si>
    <t>Nettostunden</t>
  </si>
  <si>
    <t>Frühdienst</t>
  </si>
  <si>
    <t>Spätdienst</t>
  </si>
  <si>
    <t>Nachtdienst</t>
  </si>
  <si>
    <t>Tagdienst</t>
  </si>
  <si>
    <t>Fortbildung</t>
  </si>
  <si>
    <t>Frei</t>
  </si>
  <si>
    <t>Feiertag</t>
  </si>
  <si>
    <t>Feiertage (bundeseinheitlich)</t>
  </si>
  <si>
    <t>Datum</t>
  </si>
  <si>
    <t>Neujahr</t>
  </si>
  <si>
    <t>Karfreitag</t>
  </si>
  <si>
    <t>Ostermontag</t>
  </si>
  <si>
    <t>Tag der Arbeit</t>
  </si>
  <si>
    <t>Christi Himmelfahrt</t>
  </si>
  <si>
    <t>Pfingstmontag</t>
  </si>
  <si>
    <t>Tag der Deutschen Einheit</t>
  </si>
  <si>
    <t>1. Weihnachtstag</t>
  </si>
  <si>
    <t>2. Weihnachtstag</t>
  </si>
  <si>
    <t>Hinweis: Für ein anderes Jahr die Feiertagsdaten oben aktualisieren.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</si>
</sst>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+0.0;\-0.0;0"/>
    <numFmt numFmtId="166" formatCode="hh:mm"/>
    <numFmt numFmtId="167" formatCode="dd\.mm\.yyyy"/>
  </numFmts>
  <fonts count="19" x14ac:knownFonts="1">
    <font>
      <sz val="11"/>
      <color theme="1"/>
      <name val="Calibri"/>
      <family val="2"/>
      <charset val="1"/>
    </font>
    <font>
      <b/>
      <sz val="18"/>
      <color rgb="FFFFFFFF"/>
      <name val="Calibri"/>
      <charset val="1"/>
    </font>
    <font>
      <sz val="10"/>
      <color rgb="FFFFFFFF"/>
      <name val="Calibri"/>
      <charset val="1"/>
    </font>
    <font>
      <b/>
      <sz val="10"/>
      <color rgb="FF6B7B80"/>
      <name val="Calibri"/>
      <charset val="1"/>
    </font>
    <font>
      <b/>
      <sz val="12"/>
      <color rgb="FF1A5E6B"/>
      <name val="Calibri"/>
      <charset val="1"/>
    </font>
    <font>
      <b/>
      <sz val="9"/>
      <color rgb="FF6B7B80"/>
      <name val="Calibri"/>
      <charset val="1"/>
    </font>
    <font>
      <b/>
      <sz val="15"/>
      <color rgb="FF1F6B78"/>
      <name val="Calibri"/>
      <charset val="1"/>
    </font>
    <font>
      <b/>
      <sz val="10"/>
      <color rgb="FFFFFFFF"/>
      <name val="Calibri"/>
      <charset val="1"/>
    </font>
    <font>
      <b/>
      <sz val="10"/>
      <color rgb="FF1B2A2E"/>
      <name val="Calibri"/>
      <charset val="1"/>
    </font>
    <font>
      <b/>
      <sz val="9"/>
      <color rgb="FFFFFFFF"/>
      <name val="Calibri"/>
      <charset val="1"/>
    </font>
    <font>
      <sz val="8"/>
      <color rgb="FF6B7B80"/>
      <name val="Calibri"/>
      <charset val="1"/>
    </font>
    <font>
      <sz val="9"/>
      <color rgb="FF6B7B80"/>
      <name val="Calibri"/>
      <charset val="1"/>
    </font>
    <font>
      <sz val="10"/>
      <color rgb="FF1B2A2E"/>
      <name val="Calibri"/>
      <charset val="1"/>
    </font>
    <font>
      <b/>
      <sz val="9"/>
      <color rgb="FF1F6B78"/>
      <name val="Calibri"/>
      <charset val="1"/>
    </font>
    <font>
      <b/>
      <sz val="11"/>
      <color rgb="FF1F6B78"/>
      <name val="Calibri"/>
      <charset val="1"/>
    </font>
    <font>
      <b/>
      <sz val="9"/>
      <color rgb="FF1B2A2E"/>
      <name val="Calibri"/>
      <charset val="1"/>
    </font>
    <font>
      <sz val="9"/>
      <color rgb="FF1B2A2E"/>
      <name val="Calibri"/>
      <charset val="1"/>
    </font>
    <font>
      <i/>
      <sz val="9"/>
      <color rgb="FF6B7B80"/>
      <name val="Calibri"/>
      <charset val="1"/>
    </font>
    <font>
      <b/>
      <sz val="15"/>
      <color rgb="FFFFFFFF"/>
      <name val="Calibri"/>
      <charset val="1"/>
    </font>
  </fonts>
  <fills count="17">
    <fill>
      <patternFill patternType="none"/>
    </fill>
    <fill>
      <patternFill patternType="gray125"/>
    </fill>
    <fill>
      <patternFill patternType="solid">
        <fgColor rgb="FF13424B"/>
        <bgColor rgb="FF1B2A2E"/>
      </patternFill>
    </fill>
    <fill>
      <patternFill patternType="solid">
        <fgColor rgb="FF1F6B78"/>
        <bgColor rgb="FF1A5E6B"/>
      </patternFill>
    </fill>
    <fill>
      <patternFill patternType="solid">
        <fgColor rgb="FF2E8B99"/>
        <bgColor rgb="FF1F6B78"/>
      </patternFill>
    </fill>
    <fill>
      <patternFill patternType="solid">
        <fgColor rgb="FFFFFDF3"/>
        <bgColor rgb="FFFFFFFF"/>
      </patternFill>
    </fill>
    <fill>
      <patternFill patternType="solid">
        <fgColor rgb="FFEAF3F4"/>
        <bgColor rgb="FFEDF1F3"/>
      </patternFill>
    </fill>
    <fill>
      <patternFill patternType="solid">
        <fgColor rgb="FFFFFFFF"/>
        <bgColor rgb="FFFFFDF3"/>
      </patternFill>
    </fill>
    <fill>
      <patternFill patternType="solid">
        <fgColor rgb="FFFCE4B8"/>
        <bgColor rgb="FFF8CDA3"/>
      </patternFill>
    </fill>
    <fill>
      <patternFill patternType="solid">
        <fgColor rgb="FFC7E5E1"/>
        <bgColor rgb="FFCFE2F3"/>
      </patternFill>
    </fill>
    <fill>
      <patternFill patternType="solid">
        <fgColor rgb="FFF4C4C0"/>
        <bgColor rgb="FFF8CDA3"/>
      </patternFill>
    </fill>
    <fill>
      <patternFill patternType="solid">
        <fgColor rgb="FFF8CDA3"/>
        <bgColor rgb="FFF4C4C0"/>
      </patternFill>
    </fill>
    <fill>
      <patternFill patternType="solid">
        <fgColor rgb="FFE2D2EE"/>
        <bgColor rgb="FFD8DDDF"/>
      </patternFill>
    </fill>
    <fill>
      <patternFill patternType="solid">
        <fgColor rgb="FFE3E7E9"/>
        <bgColor rgb="FFE4EAEB"/>
      </patternFill>
    </fill>
    <fill>
      <patternFill patternType="solid">
        <fgColor rgb="FFCDCFEC"/>
        <bgColor rgb="FFC9D4D6"/>
      </patternFill>
    </fill>
    <fill>
      <patternFill patternType="solid">
        <fgColor rgb="FFCCE7BE"/>
        <bgColor rgb="FFC7E5E1"/>
      </patternFill>
    </fill>
    <fill>
      <patternFill patternType="solid">
        <fgColor rgb="FFCFE2F3"/>
        <bgColor rgb="FFC7E5E1"/>
      </patternFill>
    </fill>
  </fills>
  <borders count="5">
    <border>
      <left/>
      <right/>
      <top/>
      <bottom/>
      <diagonal/>
    </border>
    <border>
      <left style="thin">
        <color rgb="FFC9D4D6"/>
      </left>
      <right style="thin">
        <color rgb="FFC9D4D6"/>
      </right>
      <top style="thin">
        <color rgb="FFC9D4D6"/>
      </top>
      <bottom style="thin">
        <color rgb="FFC9D4D6"/>
      </bottom>
      <diagonal/>
    </border>
    <border>
      <left/>
      <right/>
      <top/>
      <bottom style="medium">
        <color rgb="FF1A5E6B"/>
      </bottom>
      <diagonal/>
    </border>
    <border>
      <left style="thin">
        <color rgb="FFC9D4D6"/>
      </left>
      <right style="thin">
        <color rgb="FFC9D4D6"/>
      </right>
      <top style="thin">
        <color rgb="FFC9D4D6"/>
      </top>
      <bottom/>
      <diagonal/>
    </border>
    <border>
      <left style="thin">
        <color rgb="FFE4EAEB"/>
      </left>
      <right style="thin">
        <color rgb="FFE4EAEB"/>
      </right>
      <top style="thin">
        <color rgb="FFE4EAEB"/>
      </top>
      <bottom style="thin">
        <color rgb="FFE4EAEB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7" fillId="0" borderId="0" xfId="0" applyFont="1"/>
    <xf numFmtId="0" fontId="18" fillId="2" borderId="0" xfId="0" applyFont="1" applyFill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9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" fontId="6" fillId="6" borderId="0" xfId="0" applyNumberFormat="1" applyFont="1" applyFill="1" applyAlignment="1">
      <alignment horizontal="center" vertical="center"/>
    </xf>
    <xf numFmtId="165" fontId="6" fillId="6" borderId="0" xfId="0" applyNumberFormat="1" applyFont="1" applyFill="1" applyAlignment="1">
      <alignment horizontal="center" vertical="center"/>
    </xf>
    <xf numFmtId="164" fontId="6" fillId="6" borderId="0" xfId="0" applyNumberFormat="1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1" fontId="4" fillId="5" borderId="2" xfId="0" applyNumberFormat="1" applyFont="1" applyFill="1" applyBorder="1" applyAlignment="1">
      <alignment horizontal="center" vertical="center"/>
    </xf>
    <xf numFmtId="0" fontId="0" fillId="4" borderId="1" xfId="0" applyFill="1" applyBorder="1"/>
    <xf numFmtId="0" fontId="2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1" fontId="8" fillId="7" borderId="1" xfId="0" applyNumberFormat="1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64" fontId="12" fillId="5" borderId="1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0" fontId="0" fillId="0" borderId="1" xfId="0" applyBorder="1"/>
    <xf numFmtId="164" fontId="0" fillId="5" borderId="1" xfId="0" applyNumberFormat="1" applyFill="1" applyBorder="1" applyAlignment="1">
      <alignment horizontal="center" vertical="center"/>
    </xf>
    <xf numFmtId="0" fontId="0" fillId="6" borderId="1" xfId="0" applyFill="1" applyBorder="1"/>
    <xf numFmtId="0" fontId="13" fillId="6" borderId="1" xfId="0" applyFont="1" applyFill="1" applyBorder="1" applyAlignment="1">
      <alignment horizontal="left" vertical="center"/>
    </xf>
    <xf numFmtId="1" fontId="13" fillId="6" borderId="1" xfId="0" applyNumberFormat="1" applyFont="1" applyFill="1" applyBorder="1" applyAlignment="1">
      <alignment horizontal="center" vertical="center"/>
    </xf>
    <xf numFmtId="164" fontId="13" fillId="6" borderId="1" xfId="0" applyNumberFormat="1" applyFont="1" applyFill="1" applyBorder="1" applyAlignment="1">
      <alignment horizontal="center" vertical="center"/>
    </xf>
    <xf numFmtId="0" fontId="14" fillId="0" borderId="0" xfId="0" applyFont="1"/>
    <xf numFmtId="0" fontId="15" fillId="8" borderId="1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 vertical="center"/>
    </xf>
    <xf numFmtId="0" fontId="15" fillId="12" borderId="1" xfId="0" applyFont="1" applyFill="1" applyBorder="1" applyAlignment="1">
      <alignment horizontal="center" vertical="center"/>
    </xf>
    <xf numFmtId="0" fontId="15" fillId="13" borderId="1" xfId="0" applyFont="1" applyFill="1" applyBorder="1" applyAlignment="1">
      <alignment horizontal="center" vertical="center"/>
    </xf>
    <xf numFmtId="0" fontId="15" fillId="14" borderId="1" xfId="0" applyFont="1" applyFill="1" applyBorder="1" applyAlignment="1">
      <alignment horizontal="center" vertical="center"/>
    </xf>
    <xf numFmtId="0" fontId="15" fillId="15" borderId="1" xfId="0" applyFont="1" applyFill="1" applyBorder="1" applyAlignment="1">
      <alignment horizontal="center" vertical="center"/>
    </xf>
    <xf numFmtId="0" fontId="15" fillId="16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166" fontId="12" fillId="0" borderId="1" xfId="0" applyNumberFormat="1" applyFont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8" fillId="14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center" vertical="center"/>
    </xf>
    <xf numFmtId="0" fontId="8" fillId="15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horizontal="center" vertical="center"/>
    </xf>
    <xf numFmtId="0" fontId="8" fillId="16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67" fontId="12" fillId="0" borderId="1" xfId="0" applyNumberFormat="1" applyFont="1" applyBorder="1" applyAlignment="1">
      <alignment horizontal="center" vertical="center"/>
    </xf>
  </cellXfs>
  <cellStyles count="1">
    <cellStyle name="Standard" xfId="0" builtinId="0"/>
  </cellStyles>
  <dxfs count="11">
    <dxf>
      <fill>
        <patternFill>
          <bgColor rgb="FFCFE2F3"/>
        </patternFill>
      </fill>
    </dxf>
    <dxf>
      <fill>
        <patternFill>
          <bgColor rgb="FFE3E7E9"/>
        </patternFill>
      </fill>
    </dxf>
    <dxf>
      <fill>
        <patternFill>
          <bgColor rgb="FFF4C4C0"/>
        </patternFill>
      </fill>
    </dxf>
    <dxf>
      <fill>
        <patternFill>
          <bgColor rgb="FFCCE7BE"/>
        </patternFill>
      </fill>
    </dxf>
    <dxf>
      <fill>
        <patternFill>
          <bgColor rgb="FFE2D2EE"/>
        </patternFill>
      </fill>
    </dxf>
    <dxf>
      <fill>
        <patternFill>
          <bgColor rgb="FFC7E5E1"/>
        </patternFill>
      </fill>
    </dxf>
    <dxf>
      <fill>
        <patternFill>
          <bgColor rgb="FFCDCFEC"/>
        </patternFill>
      </fill>
    </dxf>
    <dxf>
      <fill>
        <patternFill>
          <bgColor rgb="FFF8CDA3"/>
        </patternFill>
      </fill>
    </dxf>
    <dxf>
      <fill>
        <patternFill>
          <bgColor rgb="FFFCE4B8"/>
        </patternFill>
      </fill>
    </dxf>
    <dxf>
      <fill>
        <patternFill>
          <bgColor rgb="FFEDF1F3"/>
        </patternFill>
      </fill>
    </dxf>
    <dxf>
      <fill>
        <patternFill>
          <bgColor rgb="FFD8DDDF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E3E7E9"/>
      <rgbColor rgb="FFFF00FF"/>
      <rgbColor rgb="FF00FFFF"/>
      <rgbColor rgb="FF800000"/>
      <rgbColor rgb="FF008000"/>
      <rgbColor rgb="FF000080"/>
      <rgbColor rgb="FF808000"/>
      <rgbColor rgb="FF800080"/>
      <rgbColor rgb="FF1F6B78"/>
      <rgbColor rgb="FFC9D4D6"/>
      <rgbColor rgb="FF6B7B80"/>
      <rgbColor rgb="FFD8DDDF"/>
      <rgbColor rgb="FF993366"/>
      <rgbColor rgb="FFFFFDF3"/>
      <rgbColor rgb="FFEAF3F4"/>
      <rgbColor rgb="FF660066"/>
      <rgbColor rgb="FFFF8080"/>
      <rgbColor rgb="FF0066CC"/>
      <rgbColor rgb="FFCDCFEC"/>
      <rgbColor rgb="FF000080"/>
      <rgbColor rgb="FFFF00FF"/>
      <rgbColor rgb="FFE4EAEB"/>
      <rgbColor rgb="FF00FFFF"/>
      <rgbColor rgb="FF800080"/>
      <rgbColor rgb="FF800000"/>
      <rgbColor rgb="FF1A5E6B"/>
      <rgbColor rgb="FF0000FF"/>
      <rgbColor rgb="FF00CCFF"/>
      <rgbColor rgb="FFEDF1F3"/>
      <rgbColor rgb="FFCCE7BE"/>
      <rgbColor rgb="FFFCE4B8"/>
      <rgbColor rgb="FFC7E5E1"/>
      <rgbColor rgb="FFF4C4C0"/>
      <rgbColor rgb="FFE2D2EE"/>
      <rgbColor rgb="FFF8CDA3"/>
      <rgbColor rgb="FF3366FF"/>
      <rgbColor rgb="FF33CCCC"/>
      <rgbColor rgb="FF99CC00"/>
      <rgbColor rgb="FFFFCC00"/>
      <rgbColor rgb="FFFF9900"/>
      <rgbColor rgb="FFFF6600"/>
      <rgbColor rgb="FF666699"/>
      <rgbColor rgb="FFCFE2F3"/>
      <rgbColor rgb="FF13424B"/>
      <rgbColor rgb="FF2E8B99"/>
      <rgbColor rgb="FF003300"/>
      <rgbColor rgb="FF333300"/>
      <rgbColor rgb="FF993300"/>
      <rgbColor rgb="FF993366"/>
      <rgbColor rgb="FF333399"/>
      <rgbColor rgb="FF1B2A2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27"/>
  <sheetViews>
    <sheetView showGridLines="0" tabSelected="1" zoomScaleNormal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J30" sqref="J30"/>
    </sheetView>
  </sheetViews>
  <sheetFormatPr baseColWidth="10" defaultColWidth="8.7109375" defaultRowHeight="15" x14ac:dyDescent="0.25"/>
  <cols>
    <col min="1" max="1" width="4.42578125" customWidth="1"/>
    <col min="2" max="2" width="20" customWidth="1"/>
    <col min="3" max="3" width="15" customWidth="1"/>
    <col min="4" max="4" width="8" customWidth="1"/>
    <col min="5" max="35" width="4.28515625" customWidth="1"/>
    <col min="36" max="41" width="7.42578125" customWidth="1"/>
  </cols>
  <sheetData>
    <row r="1" spans="1:41" ht="31.5" customHeight="1" x14ac:dyDescent="0.25">
      <c r="A1" s="14" t="str">
        <f>"Dienstplan · "&amp;CHOOSE(C3,"Januar","Februar","März","April","Mai","Juni","Juli","August","September","Oktober","November","Dezember")&amp;" "&amp;C4</f>
        <v>Dienstplan · April 2027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</row>
    <row r="2" spans="1:41" ht="19.5" customHeight="1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15.75" customHeight="1" x14ac:dyDescent="0.25">
      <c r="A3" s="12"/>
      <c r="B3" s="15" t="s">
        <v>1</v>
      </c>
      <c r="C3" s="11">
        <v>4</v>
      </c>
      <c r="D3" s="11"/>
      <c r="E3" s="10" t="s">
        <v>2</v>
      </c>
      <c r="F3" s="10"/>
      <c r="G3" s="10"/>
      <c r="H3" s="10"/>
      <c r="I3" s="10"/>
      <c r="J3" s="10"/>
      <c r="K3" s="10"/>
      <c r="L3" s="10" t="s">
        <v>3</v>
      </c>
      <c r="M3" s="10"/>
      <c r="N3" s="10"/>
      <c r="O3" s="10"/>
      <c r="P3" s="10"/>
      <c r="Q3" s="10"/>
      <c r="R3" s="10"/>
      <c r="S3" s="10" t="s">
        <v>4</v>
      </c>
      <c r="T3" s="10"/>
      <c r="U3" s="10"/>
      <c r="V3" s="10"/>
      <c r="W3" s="10"/>
      <c r="X3" s="10"/>
      <c r="Y3" s="10"/>
      <c r="Z3" s="10" t="s">
        <v>5</v>
      </c>
      <c r="AA3" s="10"/>
      <c r="AB3" s="10"/>
      <c r="AC3" s="10"/>
      <c r="AD3" s="10"/>
      <c r="AE3" s="10"/>
      <c r="AF3" s="10"/>
      <c r="AG3" s="10" t="s">
        <v>6</v>
      </c>
      <c r="AH3" s="10"/>
      <c r="AI3" s="10"/>
      <c r="AJ3" s="10"/>
      <c r="AK3" s="10"/>
      <c r="AL3" s="10"/>
      <c r="AM3" s="10"/>
      <c r="AN3" s="10"/>
      <c r="AO3" s="10"/>
    </row>
    <row r="4" spans="1:41" ht="24" customHeight="1" x14ac:dyDescent="0.25">
      <c r="A4" s="12"/>
      <c r="B4" s="15" t="s">
        <v>7</v>
      </c>
      <c r="C4" s="11">
        <v>2027</v>
      </c>
      <c r="D4" s="11"/>
      <c r="E4" s="9">
        <f>SUM(AJ7:AJ18)</f>
        <v>1326.0000000000005</v>
      </c>
      <c r="F4" s="9"/>
      <c r="G4" s="9"/>
      <c r="H4" s="9"/>
      <c r="I4" s="9"/>
      <c r="J4" s="9"/>
      <c r="K4" s="9"/>
      <c r="L4" s="9">
        <f>SUM(AK7:AK18)</f>
        <v>1555.4</v>
      </c>
      <c r="M4" s="9"/>
      <c r="N4" s="9"/>
      <c r="O4" s="9"/>
      <c r="P4" s="9"/>
      <c r="Q4" s="9"/>
      <c r="R4" s="9"/>
      <c r="S4" s="8">
        <f>SUM(AJ7:AJ18)-SUM(AK7:AK18)</f>
        <v>-229.39999999999964</v>
      </c>
      <c r="T4" s="8"/>
      <c r="U4" s="8"/>
      <c r="V4" s="8"/>
      <c r="W4" s="8"/>
      <c r="X4" s="8"/>
      <c r="Y4" s="8"/>
      <c r="Z4" s="7">
        <f>SUM(AN7:AN18)</f>
        <v>9</v>
      </c>
      <c r="AA4" s="7"/>
      <c r="AB4" s="7"/>
      <c r="AC4" s="7"/>
      <c r="AD4" s="7"/>
      <c r="AE4" s="7"/>
      <c r="AF4" s="7"/>
      <c r="AG4" s="7">
        <f>SUM(AO7:AO18)</f>
        <v>2</v>
      </c>
      <c r="AH4" s="7"/>
      <c r="AI4" s="7"/>
      <c r="AJ4" s="7"/>
      <c r="AK4" s="7"/>
      <c r="AL4" s="7"/>
      <c r="AM4" s="7"/>
      <c r="AN4" s="7"/>
      <c r="AO4" s="7"/>
    </row>
    <row r="5" spans="1:41" ht="18" customHeight="1" x14ac:dyDescent="0.25">
      <c r="A5" s="6" t="s">
        <v>8</v>
      </c>
      <c r="B5" s="6" t="s">
        <v>9</v>
      </c>
      <c r="C5" s="6" t="s">
        <v>10</v>
      </c>
      <c r="D5" s="6" t="s">
        <v>11</v>
      </c>
      <c r="E5" s="16">
        <f>IF(1&lt;=DAY(EOMONTH(DATE(C4,C3,1),0)),1,"")</f>
        <v>1</v>
      </c>
      <c r="F5" s="16">
        <f>IF(2&lt;=DAY(EOMONTH(DATE(C4,C3,1),0)),2,"")</f>
        <v>2</v>
      </c>
      <c r="G5" s="16">
        <f>IF(3&lt;=DAY(EOMONTH(DATE(C4,C3,1),0)),3,"")</f>
        <v>3</v>
      </c>
      <c r="H5" s="16">
        <f>IF(4&lt;=DAY(EOMONTH(DATE(C4,C3,1),0)),4,"")</f>
        <v>4</v>
      </c>
      <c r="I5" s="16">
        <f>IF(5&lt;=DAY(EOMONTH(DATE(C4,C3,1),0)),5,"")</f>
        <v>5</v>
      </c>
      <c r="J5" s="16">
        <f>IF(6&lt;=DAY(EOMONTH(DATE(C4,C3,1),0)),6,"")</f>
        <v>6</v>
      </c>
      <c r="K5" s="16">
        <f>IF(7&lt;=DAY(EOMONTH(DATE(C4,C3,1),0)),7,"")</f>
        <v>7</v>
      </c>
      <c r="L5" s="16">
        <f>IF(8&lt;=DAY(EOMONTH(DATE(C4,C3,1),0)),8,"")</f>
        <v>8</v>
      </c>
      <c r="M5" s="16">
        <f>IF(9&lt;=DAY(EOMONTH(DATE(C4,C3,1),0)),9,"")</f>
        <v>9</v>
      </c>
      <c r="N5" s="16">
        <f>IF(10&lt;=DAY(EOMONTH(DATE(C4,C3,1),0)),10,"")</f>
        <v>10</v>
      </c>
      <c r="O5" s="16">
        <f>IF(11&lt;=DAY(EOMONTH(DATE(C4,C3,1),0)),11,"")</f>
        <v>11</v>
      </c>
      <c r="P5" s="16">
        <f>IF(12&lt;=DAY(EOMONTH(DATE(C4,C3,1),0)),12,"")</f>
        <v>12</v>
      </c>
      <c r="Q5" s="16">
        <f>IF(13&lt;=DAY(EOMONTH(DATE(C4,C3,1),0)),13,"")</f>
        <v>13</v>
      </c>
      <c r="R5" s="16">
        <f>IF(14&lt;=DAY(EOMONTH(DATE(C4,C3,1),0)),14,"")</f>
        <v>14</v>
      </c>
      <c r="S5" s="16">
        <f>IF(15&lt;=DAY(EOMONTH(DATE(C4,C3,1),0)),15,"")</f>
        <v>15</v>
      </c>
      <c r="T5" s="16">
        <f>IF(16&lt;=DAY(EOMONTH(DATE(C4,C3,1),0)),16,"")</f>
        <v>16</v>
      </c>
      <c r="U5" s="16">
        <f>IF(17&lt;=DAY(EOMONTH(DATE(C4,C3,1),0)),17,"")</f>
        <v>17</v>
      </c>
      <c r="V5" s="16">
        <f>IF(18&lt;=DAY(EOMONTH(DATE(C4,C3,1),0)),18,"")</f>
        <v>18</v>
      </c>
      <c r="W5" s="16">
        <f>IF(19&lt;=DAY(EOMONTH(DATE(C4,C3,1),0)),19,"")</f>
        <v>19</v>
      </c>
      <c r="X5" s="16">
        <f>IF(20&lt;=DAY(EOMONTH(DATE(C4,C3,1),0)),20,"")</f>
        <v>20</v>
      </c>
      <c r="Y5" s="16">
        <f>IF(21&lt;=DAY(EOMONTH(DATE(C4,C3,1),0)),21,"")</f>
        <v>21</v>
      </c>
      <c r="Z5" s="16">
        <f>IF(22&lt;=DAY(EOMONTH(DATE(C4,C3,1),0)),22,"")</f>
        <v>22</v>
      </c>
      <c r="AA5" s="16">
        <f>IF(23&lt;=DAY(EOMONTH(DATE(C4,C3,1),0)),23,"")</f>
        <v>23</v>
      </c>
      <c r="AB5" s="16">
        <f>IF(24&lt;=DAY(EOMONTH(DATE(C4,C3,1),0)),24,"")</f>
        <v>24</v>
      </c>
      <c r="AC5" s="16">
        <f>IF(25&lt;=DAY(EOMONTH(DATE(C4,C3,1),0)),25,"")</f>
        <v>25</v>
      </c>
      <c r="AD5" s="16">
        <f>IF(26&lt;=DAY(EOMONTH(DATE(C4,C3,1),0)),26,"")</f>
        <v>26</v>
      </c>
      <c r="AE5" s="16">
        <f>IF(27&lt;=DAY(EOMONTH(DATE(C4,C3,1),0)),27,"")</f>
        <v>27</v>
      </c>
      <c r="AF5" s="16">
        <f>IF(28&lt;=DAY(EOMONTH(DATE(C4,C3,1),0)),28,"")</f>
        <v>28</v>
      </c>
      <c r="AG5" s="16">
        <f>IF(29&lt;=DAY(EOMONTH(DATE(C4,C3,1),0)),29,"")</f>
        <v>29</v>
      </c>
      <c r="AH5" s="16">
        <f>IF(30&lt;=DAY(EOMONTH(DATE(C4,C3,1),0)),30,"")</f>
        <v>30</v>
      </c>
      <c r="AI5" s="16" t="str">
        <f>IF(31&lt;=DAY(EOMONTH(DATE(C4,C3,1),0)),31,"")</f>
        <v/>
      </c>
      <c r="AJ5" s="5" t="s">
        <v>12</v>
      </c>
      <c r="AK5" s="5" t="s">
        <v>13</v>
      </c>
      <c r="AL5" s="5" t="s">
        <v>14</v>
      </c>
      <c r="AM5" s="5" t="s">
        <v>15</v>
      </c>
      <c r="AN5" s="5" t="s">
        <v>16</v>
      </c>
      <c r="AO5" s="5" t="s">
        <v>17</v>
      </c>
    </row>
    <row r="6" spans="1:41" ht="13.5" customHeight="1" x14ac:dyDescent="0.25">
      <c r="A6" s="6"/>
      <c r="B6" s="6"/>
      <c r="C6" s="6"/>
      <c r="D6" s="6"/>
      <c r="E6" s="17" t="str">
        <f>IF(E5="","",CHOOSE(WEEKDAY(DATE(C4,C3,E5),2),"Mo","Di","Mi","Do","Fr","Sa","So"))</f>
        <v>Do</v>
      </c>
      <c r="F6" s="17" t="str">
        <f>IF(F5="","",CHOOSE(WEEKDAY(DATE(C4,C3,F5),2),"Mo","Di","Mi","Do","Fr","Sa","So"))</f>
        <v>Fr</v>
      </c>
      <c r="G6" s="17" t="str">
        <f>IF(G5="","",CHOOSE(WEEKDAY(DATE(C4,C3,G5),2),"Mo","Di","Mi","Do","Fr","Sa","So"))</f>
        <v>Sa</v>
      </c>
      <c r="H6" s="17" t="str">
        <f>IF(H5="","",CHOOSE(WEEKDAY(DATE(C4,C3,H5),2),"Mo","Di","Mi","Do","Fr","Sa","So"))</f>
        <v>So</v>
      </c>
      <c r="I6" s="17" t="str">
        <f>IF(I5="","",CHOOSE(WEEKDAY(DATE(C4,C3,I5),2),"Mo","Di","Mi","Do","Fr","Sa","So"))</f>
        <v>Mo</v>
      </c>
      <c r="J6" s="17" t="str">
        <f>IF(J5="","",CHOOSE(WEEKDAY(DATE(C4,C3,J5),2),"Mo","Di","Mi","Do","Fr","Sa","So"))</f>
        <v>Di</v>
      </c>
      <c r="K6" s="17" t="str">
        <f>IF(K5="","",CHOOSE(WEEKDAY(DATE(C4,C3,K5),2),"Mo","Di","Mi","Do","Fr","Sa","So"))</f>
        <v>Mi</v>
      </c>
      <c r="L6" s="17" t="str">
        <f>IF(L5="","",CHOOSE(WEEKDAY(DATE(C4,C3,L5),2),"Mo","Di","Mi","Do","Fr","Sa","So"))</f>
        <v>Do</v>
      </c>
      <c r="M6" s="17" t="str">
        <f>IF(M5="","",CHOOSE(WEEKDAY(DATE(C4,C3,M5),2),"Mo","Di","Mi","Do","Fr","Sa","So"))</f>
        <v>Fr</v>
      </c>
      <c r="N6" s="17" t="str">
        <f>IF(N5="","",CHOOSE(WEEKDAY(DATE(C4,C3,N5),2),"Mo","Di","Mi","Do","Fr","Sa","So"))</f>
        <v>Sa</v>
      </c>
      <c r="O6" s="17" t="str">
        <f>IF(O5="","",CHOOSE(WEEKDAY(DATE(C4,C3,O5),2),"Mo","Di","Mi","Do","Fr","Sa","So"))</f>
        <v>So</v>
      </c>
      <c r="P6" s="17" t="str">
        <f>IF(P5="","",CHOOSE(WEEKDAY(DATE(C4,C3,P5),2),"Mo","Di","Mi","Do","Fr","Sa","So"))</f>
        <v>Mo</v>
      </c>
      <c r="Q6" s="17" t="str">
        <f>IF(Q5="","",CHOOSE(WEEKDAY(DATE(C4,C3,Q5),2),"Mo","Di","Mi","Do","Fr","Sa","So"))</f>
        <v>Di</v>
      </c>
      <c r="R6" s="17" t="str">
        <f>IF(R5="","",CHOOSE(WEEKDAY(DATE(C4,C3,R5),2),"Mo","Di","Mi","Do","Fr","Sa","So"))</f>
        <v>Mi</v>
      </c>
      <c r="S6" s="17" t="str">
        <f>IF(S5="","",CHOOSE(WEEKDAY(DATE(C4,C3,S5),2),"Mo","Di","Mi","Do","Fr","Sa","So"))</f>
        <v>Do</v>
      </c>
      <c r="T6" s="17" t="str">
        <f>IF(T5="","",CHOOSE(WEEKDAY(DATE(C4,C3,T5),2),"Mo","Di","Mi","Do","Fr","Sa","So"))</f>
        <v>Fr</v>
      </c>
      <c r="U6" s="17" t="str">
        <f>IF(U5="","",CHOOSE(WEEKDAY(DATE(C4,C3,U5),2),"Mo","Di","Mi","Do","Fr","Sa","So"))</f>
        <v>Sa</v>
      </c>
      <c r="V6" s="17" t="str">
        <f>IF(V5="","",CHOOSE(WEEKDAY(DATE(C4,C3,V5),2),"Mo","Di","Mi","Do","Fr","Sa","So"))</f>
        <v>So</v>
      </c>
      <c r="W6" s="17" t="str">
        <f>IF(W5="","",CHOOSE(WEEKDAY(DATE(C4,C3,W5),2),"Mo","Di","Mi","Do","Fr","Sa","So"))</f>
        <v>Mo</v>
      </c>
      <c r="X6" s="17" t="str">
        <f>IF(X5="","",CHOOSE(WEEKDAY(DATE(C4,C3,X5),2),"Mo","Di","Mi","Do","Fr","Sa","So"))</f>
        <v>Di</v>
      </c>
      <c r="Y6" s="17" t="str">
        <f>IF(Y5="","",CHOOSE(WEEKDAY(DATE(C4,C3,Y5),2),"Mo","Di","Mi","Do","Fr","Sa","So"))</f>
        <v>Mi</v>
      </c>
      <c r="Z6" s="17" t="str">
        <f>IF(Z5="","",CHOOSE(WEEKDAY(DATE(C4,C3,Z5),2),"Mo","Di","Mi","Do","Fr","Sa","So"))</f>
        <v>Do</v>
      </c>
      <c r="AA6" s="17" t="str">
        <f>IF(AA5="","",CHOOSE(WEEKDAY(DATE(C4,C3,AA5),2),"Mo","Di","Mi","Do","Fr","Sa","So"))</f>
        <v>Fr</v>
      </c>
      <c r="AB6" s="17" t="str">
        <f>IF(AB5="","",CHOOSE(WEEKDAY(DATE(C4,C3,AB5),2),"Mo","Di","Mi","Do","Fr","Sa","So"))</f>
        <v>Sa</v>
      </c>
      <c r="AC6" s="17" t="str">
        <f>IF(AC5="","",CHOOSE(WEEKDAY(DATE(C4,C3,AC5),2),"Mo","Di","Mi","Do","Fr","Sa","So"))</f>
        <v>So</v>
      </c>
      <c r="AD6" s="17" t="str">
        <f>IF(AD5="","",CHOOSE(WEEKDAY(DATE(C4,C3,AD5),2),"Mo","Di","Mi","Do","Fr","Sa","So"))</f>
        <v>Mo</v>
      </c>
      <c r="AE6" s="17" t="str">
        <f>IF(AE5="","",CHOOSE(WEEKDAY(DATE(C4,C3,AE5),2),"Mo","Di","Mi","Do","Fr","Sa","So"))</f>
        <v>Di</v>
      </c>
      <c r="AF6" s="17" t="str">
        <f>IF(AF5="","",CHOOSE(WEEKDAY(DATE(C4,C3,AF5),2),"Mo","Di","Mi","Do","Fr","Sa","So"))</f>
        <v>Mi</v>
      </c>
      <c r="AG6" s="17" t="str">
        <f>IF(AG5="","",CHOOSE(WEEKDAY(DATE(C4,C3,AG5),2),"Mo","Di","Mi","Do","Fr","Sa","So"))</f>
        <v>Do</v>
      </c>
      <c r="AH6" s="17" t="str">
        <f>IF(AH5="","",CHOOSE(WEEKDAY(DATE(C4,C3,AH5),2),"Mo","Di","Mi","Do","Fr","Sa","So"))</f>
        <v>Fr</v>
      </c>
      <c r="AI6" s="17" t="str">
        <f>IF(AI5="","",CHOOSE(WEEKDAY(DATE(C4,C3,AI5),2),"Mo","Di","Mi","Do","Fr","Sa","So"))</f>
        <v/>
      </c>
      <c r="AJ6" s="5"/>
      <c r="AK6" s="5"/>
      <c r="AL6" s="5"/>
      <c r="AM6" s="5"/>
      <c r="AN6" s="5"/>
      <c r="AO6" s="5"/>
    </row>
    <row r="7" spans="1:41" ht="16.5" customHeight="1" x14ac:dyDescent="0.25">
      <c r="A7" s="18">
        <v>1</v>
      </c>
      <c r="B7" s="19" t="s">
        <v>18</v>
      </c>
      <c r="C7" s="20" t="s">
        <v>19</v>
      </c>
      <c r="D7" s="21">
        <v>40</v>
      </c>
      <c r="E7" s="22" t="s">
        <v>20</v>
      </c>
      <c r="F7" s="22" t="s">
        <v>20</v>
      </c>
      <c r="G7" s="23" t="s">
        <v>21</v>
      </c>
      <c r="H7" s="23" t="s">
        <v>22</v>
      </c>
      <c r="I7" s="23" t="s">
        <v>22</v>
      </c>
      <c r="J7" s="23" t="s">
        <v>21</v>
      </c>
      <c r="K7" s="22" t="s">
        <v>20</v>
      </c>
      <c r="L7" s="22" t="s">
        <v>20</v>
      </c>
      <c r="M7" s="22" t="s">
        <v>20</v>
      </c>
      <c r="N7" s="22" t="s">
        <v>20</v>
      </c>
      <c r="O7" s="23" t="s">
        <v>22</v>
      </c>
      <c r="P7" s="23" t="s">
        <v>22</v>
      </c>
      <c r="Q7" s="22" t="s">
        <v>20</v>
      </c>
      <c r="R7" s="22" t="s">
        <v>20</v>
      </c>
      <c r="S7" s="22" t="s">
        <v>20</v>
      </c>
      <c r="T7" s="22" t="s">
        <v>20</v>
      </c>
      <c r="U7" s="22" t="s">
        <v>20</v>
      </c>
      <c r="V7" s="23" t="s">
        <v>22</v>
      </c>
      <c r="W7" s="23" t="s">
        <v>22</v>
      </c>
      <c r="X7" s="23" t="s">
        <v>23</v>
      </c>
      <c r="Y7" s="23" t="s">
        <v>23</v>
      </c>
      <c r="Z7" s="23" t="s">
        <v>23</v>
      </c>
      <c r="AA7" s="23" t="s">
        <v>23</v>
      </c>
      <c r="AB7" s="23" t="s">
        <v>23</v>
      </c>
      <c r="AC7" s="23" t="s">
        <v>22</v>
      </c>
      <c r="AD7" s="23" t="s">
        <v>22</v>
      </c>
      <c r="AE7" s="22" t="s">
        <v>20</v>
      </c>
      <c r="AF7" s="22" t="s">
        <v>20</v>
      </c>
      <c r="AG7" s="22" t="s">
        <v>20</v>
      </c>
      <c r="AH7" s="22" t="s">
        <v>20</v>
      </c>
      <c r="AI7" s="23"/>
      <c r="AJ7" s="24">
        <f t="shared" ref="AJ7:AJ18" si="0">IF($B7="","",SUMPRODUCT(COUNTIF($E7:$AI7,Schichtcodes),Nettostunden))</f>
        <v>120.00000000000013</v>
      </c>
      <c r="AK7" s="25">
        <f>IF($B7="","",$D7/5*NETWORKDAYS(DATE(C4,C3,1),EOMONTH(DATE(C4,C3,1),0),Feiertage))</f>
        <v>176</v>
      </c>
      <c r="AL7" s="26">
        <f t="shared" ref="AL7:AL18" si="1">IF($B7="","",AJ7-AK7)</f>
        <v>-55.999999999999872</v>
      </c>
      <c r="AM7" s="27">
        <f t="shared" ref="AM7:AM18" si="2">IF($B7="","",SUMPRODUCT(COUNTIF($E7:$AI7,Arbeitscodes)))</f>
        <v>15</v>
      </c>
      <c r="AN7" s="27">
        <f t="shared" ref="AN7:AN18" si="3">IF($B7="","",COUNTIF($E7:$AI7,"U"))</f>
        <v>5</v>
      </c>
      <c r="AO7" s="27">
        <f t="shared" ref="AO7:AO18" si="4">IF($B7="","",COUNTIF($E7:$AI7,"K"))</f>
        <v>0</v>
      </c>
    </row>
    <row r="8" spans="1:41" ht="16.5" customHeight="1" x14ac:dyDescent="0.25">
      <c r="A8" s="18">
        <v>2</v>
      </c>
      <c r="B8" s="19" t="s">
        <v>24</v>
      </c>
      <c r="C8" s="20" t="s">
        <v>25</v>
      </c>
      <c r="D8" s="21">
        <v>40</v>
      </c>
      <c r="E8" s="22" t="s">
        <v>26</v>
      </c>
      <c r="F8" s="22" t="s">
        <v>26</v>
      </c>
      <c r="G8" s="23" t="s">
        <v>21</v>
      </c>
      <c r="H8" s="22" t="s">
        <v>27</v>
      </c>
      <c r="I8" s="23" t="s">
        <v>22</v>
      </c>
      <c r="J8" s="23" t="s">
        <v>21</v>
      </c>
      <c r="K8" s="22" t="s">
        <v>27</v>
      </c>
      <c r="L8" s="22" t="s">
        <v>27</v>
      </c>
      <c r="M8" s="22" t="s">
        <v>27</v>
      </c>
      <c r="N8" s="22" t="s">
        <v>27</v>
      </c>
      <c r="O8" s="23" t="s">
        <v>22</v>
      </c>
      <c r="P8" s="23" t="s">
        <v>22</v>
      </c>
      <c r="Q8" s="22" t="s">
        <v>28</v>
      </c>
      <c r="R8" s="22" t="s">
        <v>28</v>
      </c>
      <c r="S8" s="22" t="s">
        <v>28</v>
      </c>
      <c r="T8" s="22" t="s">
        <v>28</v>
      </c>
      <c r="U8" s="22" t="s">
        <v>28</v>
      </c>
      <c r="V8" s="22" t="s">
        <v>26</v>
      </c>
      <c r="W8" s="23" t="s">
        <v>22</v>
      </c>
      <c r="X8" s="22" t="s">
        <v>26</v>
      </c>
      <c r="Y8" s="22" t="s">
        <v>26</v>
      </c>
      <c r="Z8" s="22" t="s">
        <v>26</v>
      </c>
      <c r="AA8" s="22" t="s">
        <v>26</v>
      </c>
      <c r="AB8" s="22" t="s">
        <v>26</v>
      </c>
      <c r="AC8" s="23" t="s">
        <v>22</v>
      </c>
      <c r="AD8" s="23" t="s">
        <v>22</v>
      </c>
      <c r="AE8" s="22" t="s">
        <v>26</v>
      </c>
      <c r="AF8" s="22" t="s">
        <v>26</v>
      </c>
      <c r="AG8" s="22" t="s">
        <v>26</v>
      </c>
      <c r="AH8" s="22" t="s">
        <v>26</v>
      </c>
      <c r="AI8" s="23"/>
      <c r="AJ8" s="24">
        <f t="shared" si="0"/>
        <v>164.99999999999994</v>
      </c>
      <c r="AK8" s="25">
        <f>IF($B8="","",$D8/5*NETWORKDAYS(DATE(C4,C3,1),EOMONTH(DATE(C4,C3,1),0),Feiertage))</f>
        <v>176</v>
      </c>
      <c r="AL8" s="26">
        <f t="shared" si="1"/>
        <v>-11.000000000000057</v>
      </c>
      <c r="AM8" s="27">
        <f t="shared" si="2"/>
        <v>22</v>
      </c>
      <c r="AN8" s="27">
        <f t="shared" si="3"/>
        <v>0</v>
      </c>
      <c r="AO8" s="27">
        <f t="shared" si="4"/>
        <v>0</v>
      </c>
    </row>
    <row r="9" spans="1:41" ht="16.5" customHeight="1" x14ac:dyDescent="0.25">
      <c r="A9" s="18">
        <v>3</v>
      </c>
      <c r="B9" s="19" t="s">
        <v>29</v>
      </c>
      <c r="C9" s="20" t="s">
        <v>25</v>
      </c>
      <c r="D9" s="21">
        <v>38.5</v>
      </c>
      <c r="E9" s="22" t="s">
        <v>26</v>
      </c>
      <c r="F9" s="22" t="s">
        <v>26</v>
      </c>
      <c r="G9" s="23" t="s">
        <v>21</v>
      </c>
      <c r="H9" s="23" t="s">
        <v>22</v>
      </c>
      <c r="I9" s="23" t="s">
        <v>22</v>
      </c>
      <c r="J9" s="23" t="s">
        <v>21</v>
      </c>
      <c r="K9" s="22" t="s">
        <v>27</v>
      </c>
      <c r="L9" s="23" t="s">
        <v>23</v>
      </c>
      <c r="M9" s="23" t="s">
        <v>23</v>
      </c>
      <c r="N9" s="23" t="s">
        <v>23</v>
      </c>
      <c r="O9" s="23" t="s">
        <v>22</v>
      </c>
      <c r="P9" s="23" t="s">
        <v>22</v>
      </c>
      <c r="Q9" s="23" t="s">
        <v>23</v>
      </c>
      <c r="R9" s="22" t="s">
        <v>26</v>
      </c>
      <c r="S9" s="22" t="s">
        <v>26</v>
      </c>
      <c r="T9" s="22" t="s">
        <v>26</v>
      </c>
      <c r="U9" s="22" t="s">
        <v>26</v>
      </c>
      <c r="V9" s="23" t="s">
        <v>22</v>
      </c>
      <c r="W9" s="23" t="s">
        <v>22</v>
      </c>
      <c r="X9" s="22" t="s">
        <v>26</v>
      </c>
      <c r="Y9" s="22" t="s">
        <v>27</v>
      </c>
      <c r="Z9" s="22" t="s">
        <v>27</v>
      </c>
      <c r="AA9" s="22" t="s">
        <v>27</v>
      </c>
      <c r="AB9" s="22" t="s">
        <v>27</v>
      </c>
      <c r="AC9" s="23" t="s">
        <v>22</v>
      </c>
      <c r="AD9" s="23" t="s">
        <v>22</v>
      </c>
      <c r="AE9" s="22" t="s">
        <v>27</v>
      </c>
      <c r="AF9" s="22" t="s">
        <v>26</v>
      </c>
      <c r="AG9" s="22" t="s">
        <v>26</v>
      </c>
      <c r="AH9" s="22" t="s">
        <v>26</v>
      </c>
      <c r="AI9" s="23"/>
      <c r="AJ9" s="24">
        <f t="shared" si="0"/>
        <v>120.00000000000001</v>
      </c>
      <c r="AK9" s="25">
        <f>IF($B9="","",$D9/5*NETWORKDAYS(DATE(C4,C3,1),EOMONTH(DATE(C4,C3,1),0),Feiertage))</f>
        <v>169.4</v>
      </c>
      <c r="AL9" s="26">
        <f t="shared" si="1"/>
        <v>-49.399999999999991</v>
      </c>
      <c r="AM9" s="27">
        <f t="shared" si="2"/>
        <v>16</v>
      </c>
      <c r="AN9" s="27">
        <f t="shared" si="3"/>
        <v>4</v>
      </c>
      <c r="AO9" s="27">
        <f t="shared" si="4"/>
        <v>0</v>
      </c>
    </row>
    <row r="10" spans="1:41" ht="16.5" customHeight="1" x14ac:dyDescent="0.25">
      <c r="A10" s="18">
        <v>4</v>
      </c>
      <c r="B10" s="19" t="s">
        <v>30</v>
      </c>
      <c r="C10" s="20" t="s">
        <v>25</v>
      </c>
      <c r="D10" s="21">
        <v>40</v>
      </c>
      <c r="E10" s="22" t="s">
        <v>28</v>
      </c>
      <c r="F10" s="22" t="s">
        <v>28</v>
      </c>
      <c r="G10" s="23" t="s">
        <v>21</v>
      </c>
      <c r="H10" s="23" t="s">
        <v>22</v>
      </c>
      <c r="I10" s="22" t="s">
        <v>28</v>
      </c>
      <c r="J10" s="23" t="s">
        <v>21</v>
      </c>
      <c r="K10" s="22" t="s">
        <v>28</v>
      </c>
      <c r="L10" s="22" t="s">
        <v>28</v>
      </c>
      <c r="M10" s="22" t="s">
        <v>28</v>
      </c>
      <c r="N10" s="22" t="s">
        <v>28</v>
      </c>
      <c r="O10" s="23" t="s">
        <v>22</v>
      </c>
      <c r="P10" s="23" t="s">
        <v>22</v>
      </c>
      <c r="Q10" s="22" t="s">
        <v>27</v>
      </c>
      <c r="R10" s="22" t="s">
        <v>27</v>
      </c>
      <c r="S10" s="22" t="s">
        <v>27</v>
      </c>
      <c r="T10" s="22" t="s">
        <v>27</v>
      </c>
      <c r="U10" s="22" t="s">
        <v>27</v>
      </c>
      <c r="V10" s="23" t="s">
        <v>22</v>
      </c>
      <c r="W10" s="22" t="s">
        <v>27</v>
      </c>
      <c r="X10" s="22" t="s">
        <v>27</v>
      </c>
      <c r="Y10" s="22" t="s">
        <v>27</v>
      </c>
      <c r="Z10" s="22" t="s">
        <v>27</v>
      </c>
      <c r="AA10" s="22" t="s">
        <v>27</v>
      </c>
      <c r="AB10" s="22" t="s">
        <v>27</v>
      </c>
      <c r="AC10" s="23" t="s">
        <v>22</v>
      </c>
      <c r="AD10" s="23" t="s">
        <v>22</v>
      </c>
      <c r="AE10" s="22" t="s">
        <v>28</v>
      </c>
      <c r="AF10" s="22" t="s">
        <v>28</v>
      </c>
      <c r="AG10" s="22" t="s">
        <v>28</v>
      </c>
      <c r="AH10" s="22" t="s">
        <v>28</v>
      </c>
      <c r="AI10" s="23"/>
      <c r="AJ10" s="24">
        <f t="shared" si="0"/>
        <v>165.00000000000006</v>
      </c>
      <c r="AK10" s="25">
        <f>IF($B10="","",$D10/5*NETWORKDAYS(DATE(C4,C3,1),EOMONTH(DATE(C4,C3,1),0),Feiertage))</f>
        <v>176</v>
      </c>
      <c r="AL10" s="26">
        <f t="shared" si="1"/>
        <v>-10.999999999999943</v>
      </c>
      <c r="AM10" s="27">
        <f t="shared" si="2"/>
        <v>22</v>
      </c>
      <c r="AN10" s="27">
        <f t="shared" si="3"/>
        <v>0</v>
      </c>
      <c r="AO10" s="27">
        <f t="shared" si="4"/>
        <v>0</v>
      </c>
    </row>
    <row r="11" spans="1:41" ht="16.5" customHeight="1" x14ac:dyDescent="0.25">
      <c r="A11" s="18">
        <v>5</v>
      </c>
      <c r="B11" s="19" t="s">
        <v>31</v>
      </c>
      <c r="C11" s="20" t="s">
        <v>25</v>
      </c>
      <c r="D11" s="21">
        <v>30</v>
      </c>
      <c r="E11" s="23" t="s">
        <v>22</v>
      </c>
      <c r="F11" s="22" t="s">
        <v>26</v>
      </c>
      <c r="G11" s="23" t="s">
        <v>21</v>
      </c>
      <c r="H11" s="23" t="s">
        <v>22</v>
      </c>
      <c r="I11" s="23" t="s">
        <v>22</v>
      </c>
      <c r="J11" s="23" t="s">
        <v>21</v>
      </c>
      <c r="K11" s="22" t="s">
        <v>26</v>
      </c>
      <c r="L11" s="23" t="s">
        <v>22</v>
      </c>
      <c r="M11" s="22" t="s">
        <v>26</v>
      </c>
      <c r="N11" s="22" t="s">
        <v>26</v>
      </c>
      <c r="O11" s="23" t="s">
        <v>22</v>
      </c>
      <c r="P11" s="23" t="s">
        <v>22</v>
      </c>
      <c r="Q11" s="22" t="s">
        <v>26</v>
      </c>
      <c r="R11" s="22" t="s">
        <v>26</v>
      </c>
      <c r="S11" s="23" t="s">
        <v>22</v>
      </c>
      <c r="T11" s="22" t="s">
        <v>26</v>
      </c>
      <c r="U11" s="22" t="s">
        <v>26</v>
      </c>
      <c r="V11" s="23" t="s">
        <v>22</v>
      </c>
      <c r="W11" s="23" t="s">
        <v>22</v>
      </c>
      <c r="X11" s="22" t="s">
        <v>26</v>
      </c>
      <c r="Y11" s="22" t="s">
        <v>26</v>
      </c>
      <c r="Z11" s="23" t="s">
        <v>22</v>
      </c>
      <c r="AA11" s="22" t="s">
        <v>26</v>
      </c>
      <c r="AB11" s="22" t="s">
        <v>26</v>
      </c>
      <c r="AC11" s="23" t="s">
        <v>22</v>
      </c>
      <c r="AD11" s="23" t="s">
        <v>22</v>
      </c>
      <c r="AE11" s="22" t="s">
        <v>26</v>
      </c>
      <c r="AF11" s="22" t="s">
        <v>26</v>
      </c>
      <c r="AG11" s="23" t="s">
        <v>22</v>
      </c>
      <c r="AH11" s="22" t="s">
        <v>26</v>
      </c>
      <c r="AI11" s="23"/>
      <c r="AJ11" s="24">
        <f t="shared" si="0"/>
        <v>112.49999999999989</v>
      </c>
      <c r="AK11" s="25">
        <f>IF($B11="","",$D11/5*NETWORKDAYS(DATE(C4,C3,1),EOMONTH(DATE(C4,C3,1),0),Feiertage))</f>
        <v>132</v>
      </c>
      <c r="AL11" s="26">
        <f t="shared" si="1"/>
        <v>-19.500000000000114</v>
      </c>
      <c r="AM11" s="27">
        <f t="shared" si="2"/>
        <v>15</v>
      </c>
      <c r="AN11" s="27">
        <f t="shared" si="3"/>
        <v>0</v>
      </c>
      <c r="AO11" s="27">
        <f t="shared" si="4"/>
        <v>0</v>
      </c>
    </row>
    <row r="12" spans="1:41" ht="16.5" customHeight="1" x14ac:dyDescent="0.25">
      <c r="A12" s="18">
        <v>6</v>
      </c>
      <c r="B12" s="19" t="s">
        <v>32</v>
      </c>
      <c r="C12" s="20" t="s">
        <v>33</v>
      </c>
      <c r="D12" s="21">
        <v>20</v>
      </c>
      <c r="E12" s="23" t="s">
        <v>22</v>
      </c>
      <c r="F12" s="23" t="s">
        <v>22</v>
      </c>
      <c r="G12" s="23" t="s">
        <v>22</v>
      </c>
      <c r="H12" s="22" t="s">
        <v>27</v>
      </c>
      <c r="I12" s="23" t="s">
        <v>22</v>
      </c>
      <c r="J12" s="23" t="s">
        <v>22</v>
      </c>
      <c r="K12" s="23" t="s">
        <v>22</v>
      </c>
      <c r="L12" s="23" t="s">
        <v>22</v>
      </c>
      <c r="M12" s="23" t="s">
        <v>22</v>
      </c>
      <c r="N12" s="22" t="s">
        <v>27</v>
      </c>
      <c r="O12" s="22" t="s">
        <v>27</v>
      </c>
      <c r="P12" s="23" t="s">
        <v>22</v>
      </c>
      <c r="Q12" s="23" t="s">
        <v>22</v>
      </c>
      <c r="R12" s="23" t="s">
        <v>22</v>
      </c>
      <c r="S12" s="23" t="s">
        <v>22</v>
      </c>
      <c r="T12" s="23" t="s">
        <v>22</v>
      </c>
      <c r="U12" s="22" t="s">
        <v>27</v>
      </c>
      <c r="V12" s="22" t="s">
        <v>27</v>
      </c>
      <c r="W12" s="23" t="s">
        <v>22</v>
      </c>
      <c r="X12" s="23" t="s">
        <v>22</v>
      </c>
      <c r="Y12" s="23" t="s">
        <v>22</v>
      </c>
      <c r="Z12" s="23" t="s">
        <v>22</v>
      </c>
      <c r="AA12" s="23" t="s">
        <v>22</v>
      </c>
      <c r="AB12" s="22" t="s">
        <v>27</v>
      </c>
      <c r="AC12" s="22" t="s">
        <v>27</v>
      </c>
      <c r="AD12" s="23" t="s">
        <v>22</v>
      </c>
      <c r="AE12" s="23" t="s">
        <v>22</v>
      </c>
      <c r="AF12" s="23" t="s">
        <v>22</v>
      </c>
      <c r="AG12" s="23" t="s">
        <v>22</v>
      </c>
      <c r="AH12" s="23" t="s">
        <v>22</v>
      </c>
      <c r="AI12" s="23"/>
      <c r="AJ12" s="24">
        <f t="shared" si="0"/>
        <v>52.500000000000099</v>
      </c>
      <c r="AK12" s="25">
        <f>IF($B12="","",$D12/5*NETWORKDAYS(DATE(C4,C3,1),EOMONTH(DATE(C4,C3,1),0),Feiertage))</f>
        <v>88</v>
      </c>
      <c r="AL12" s="26">
        <f t="shared" si="1"/>
        <v>-35.499999999999901</v>
      </c>
      <c r="AM12" s="27">
        <f t="shared" si="2"/>
        <v>7</v>
      </c>
      <c r="AN12" s="27">
        <f t="shared" si="3"/>
        <v>0</v>
      </c>
      <c r="AO12" s="27">
        <f t="shared" si="4"/>
        <v>0</v>
      </c>
    </row>
    <row r="13" spans="1:41" ht="16.5" customHeight="1" x14ac:dyDescent="0.25">
      <c r="A13" s="18">
        <v>7</v>
      </c>
      <c r="B13" s="19" t="s">
        <v>34</v>
      </c>
      <c r="C13" s="20" t="s">
        <v>25</v>
      </c>
      <c r="D13" s="21">
        <v>40</v>
      </c>
      <c r="E13" s="22" t="s">
        <v>27</v>
      </c>
      <c r="F13" s="22" t="s">
        <v>27</v>
      </c>
      <c r="G13" s="23" t="s">
        <v>21</v>
      </c>
      <c r="H13" s="23" t="s">
        <v>22</v>
      </c>
      <c r="I13" s="23" t="s">
        <v>22</v>
      </c>
      <c r="J13" s="23" t="s">
        <v>21</v>
      </c>
      <c r="K13" s="22" t="s">
        <v>26</v>
      </c>
      <c r="L13" s="22" t="s">
        <v>26</v>
      </c>
      <c r="M13" s="22" t="s">
        <v>26</v>
      </c>
      <c r="N13" s="22" t="s">
        <v>26</v>
      </c>
      <c r="O13" s="22" t="s">
        <v>26</v>
      </c>
      <c r="P13" s="23" t="s">
        <v>22</v>
      </c>
      <c r="Q13" s="22" t="s">
        <v>28</v>
      </c>
      <c r="R13" s="22" t="s">
        <v>28</v>
      </c>
      <c r="S13" s="22" t="s">
        <v>28</v>
      </c>
      <c r="T13" s="22" t="s">
        <v>28</v>
      </c>
      <c r="U13" s="22" t="s">
        <v>28</v>
      </c>
      <c r="V13" s="23" t="s">
        <v>22</v>
      </c>
      <c r="W13" s="23" t="s">
        <v>22</v>
      </c>
      <c r="X13" s="22" t="s">
        <v>26</v>
      </c>
      <c r="Y13" s="22" t="s">
        <v>26</v>
      </c>
      <c r="Z13" s="22" t="s">
        <v>26</v>
      </c>
      <c r="AA13" s="22" t="s">
        <v>26</v>
      </c>
      <c r="AB13" s="22" t="s">
        <v>26</v>
      </c>
      <c r="AC13" s="22" t="s">
        <v>27</v>
      </c>
      <c r="AD13" s="23" t="s">
        <v>22</v>
      </c>
      <c r="AE13" s="22" t="s">
        <v>27</v>
      </c>
      <c r="AF13" s="22" t="s">
        <v>27</v>
      </c>
      <c r="AG13" s="22" t="s">
        <v>27</v>
      </c>
      <c r="AH13" s="22" t="s">
        <v>27</v>
      </c>
      <c r="AI13" s="23"/>
      <c r="AJ13" s="24">
        <f t="shared" si="0"/>
        <v>165</v>
      </c>
      <c r="AK13" s="25">
        <f>IF($B13="","",$D13/5*NETWORKDAYS(DATE(C4,C3,1),EOMONTH(DATE(C4,C3,1),0),Feiertage))</f>
        <v>176</v>
      </c>
      <c r="AL13" s="26">
        <f t="shared" si="1"/>
        <v>-11</v>
      </c>
      <c r="AM13" s="27">
        <f t="shared" si="2"/>
        <v>22</v>
      </c>
      <c r="AN13" s="27">
        <f t="shared" si="3"/>
        <v>0</v>
      </c>
      <c r="AO13" s="27">
        <f t="shared" si="4"/>
        <v>0</v>
      </c>
    </row>
    <row r="14" spans="1:41" ht="16.5" customHeight="1" x14ac:dyDescent="0.25">
      <c r="A14" s="18">
        <v>8</v>
      </c>
      <c r="B14" s="19" t="s">
        <v>35</v>
      </c>
      <c r="C14" s="20" t="s">
        <v>25</v>
      </c>
      <c r="D14" s="21">
        <v>40</v>
      </c>
      <c r="E14" s="22" t="s">
        <v>26</v>
      </c>
      <c r="F14" s="22" t="s">
        <v>27</v>
      </c>
      <c r="G14" s="23" t="s">
        <v>21</v>
      </c>
      <c r="H14" s="23" t="s">
        <v>22</v>
      </c>
      <c r="I14" s="23" t="s">
        <v>22</v>
      </c>
      <c r="J14" s="23" t="s">
        <v>21</v>
      </c>
      <c r="K14" s="22" t="s">
        <v>26</v>
      </c>
      <c r="L14" s="22" t="s">
        <v>27</v>
      </c>
      <c r="M14" s="23" t="s">
        <v>36</v>
      </c>
      <c r="N14" s="23" t="s">
        <v>36</v>
      </c>
      <c r="O14" s="23" t="s">
        <v>22</v>
      </c>
      <c r="P14" s="23" t="s">
        <v>22</v>
      </c>
      <c r="Q14" s="22" t="s">
        <v>26</v>
      </c>
      <c r="R14" s="22" t="s">
        <v>27</v>
      </c>
      <c r="S14" s="22" t="s">
        <v>26</v>
      </c>
      <c r="T14" s="22" t="s">
        <v>27</v>
      </c>
      <c r="U14" s="22" t="s">
        <v>26</v>
      </c>
      <c r="V14" s="23" t="s">
        <v>22</v>
      </c>
      <c r="W14" s="23" t="s">
        <v>22</v>
      </c>
      <c r="X14" s="22" t="s">
        <v>27</v>
      </c>
      <c r="Y14" s="22" t="s">
        <v>26</v>
      </c>
      <c r="Z14" s="22" t="s">
        <v>27</v>
      </c>
      <c r="AA14" s="22" t="s">
        <v>26</v>
      </c>
      <c r="AB14" s="22" t="s">
        <v>27</v>
      </c>
      <c r="AC14" s="23" t="s">
        <v>22</v>
      </c>
      <c r="AD14" s="23" t="s">
        <v>22</v>
      </c>
      <c r="AE14" s="22" t="s">
        <v>26</v>
      </c>
      <c r="AF14" s="22" t="s">
        <v>27</v>
      </c>
      <c r="AG14" s="22" t="s">
        <v>26</v>
      </c>
      <c r="AH14" s="22" t="s">
        <v>27</v>
      </c>
      <c r="AI14" s="23"/>
      <c r="AJ14" s="24">
        <f t="shared" si="0"/>
        <v>135.00000000000006</v>
      </c>
      <c r="AK14" s="25">
        <f>IF($B14="","",$D14/5*NETWORKDAYS(DATE(C4,C3,1),EOMONTH(DATE(C4,C3,1),0),Feiertage))</f>
        <v>176</v>
      </c>
      <c r="AL14" s="26">
        <f t="shared" si="1"/>
        <v>-40.999999999999943</v>
      </c>
      <c r="AM14" s="27">
        <f t="shared" si="2"/>
        <v>18</v>
      </c>
      <c r="AN14" s="27">
        <f t="shared" si="3"/>
        <v>0</v>
      </c>
      <c r="AO14" s="27">
        <f t="shared" si="4"/>
        <v>2</v>
      </c>
    </row>
    <row r="15" spans="1:41" ht="16.5" customHeight="1" x14ac:dyDescent="0.25">
      <c r="A15" s="18">
        <v>9</v>
      </c>
      <c r="B15" s="19" t="s">
        <v>37</v>
      </c>
      <c r="C15" s="20" t="s">
        <v>25</v>
      </c>
      <c r="D15" s="21">
        <v>30</v>
      </c>
      <c r="E15" s="22" t="s">
        <v>20</v>
      </c>
      <c r="F15" s="22" t="s">
        <v>20</v>
      </c>
      <c r="G15" s="23" t="s">
        <v>21</v>
      </c>
      <c r="H15" s="23" t="s">
        <v>22</v>
      </c>
      <c r="I15" s="23" t="s">
        <v>22</v>
      </c>
      <c r="J15" s="23" t="s">
        <v>21</v>
      </c>
      <c r="K15" s="22" t="s">
        <v>20</v>
      </c>
      <c r="L15" s="22" t="s">
        <v>20</v>
      </c>
      <c r="M15" s="22" t="s">
        <v>20</v>
      </c>
      <c r="N15" s="23" t="s">
        <v>22</v>
      </c>
      <c r="O15" s="23" t="s">
        <v>22</v>
      </c>
      <c r="P15" s="23" t="s">
        <v>22</v>
      </c>
      <c r="Q15" s="22" t="s">
        <v>20</v>
      </c>
      <c r="R15" s="22" t="s">
        <v>20</v>
      </c>
      <c r="S15" s="22" t="s">
        <v>20</v>
      </c>
      <c r="T15" s="22" t="s">
        <v>20</v>
      </c>
      <c r="U15" s="23" t="s">
        <v>22</v>
      </c>
      <c r="V15" s="23" t="s">
        <v>22</v>
      </c>
      <c r="W15" s="23" t="s">
        <v>22</v>
      </c>
      <c r="X15" s="22" t="s">
        <v>20</v>
      </c>
      <c r="Y15" s="22" t="s">
        <v>20</v>
      </c>
      <c r="Z15" s="22" t="s">
        <v>20</v>
      </c>
      <c r="AA15" s="22" t="s">
        <v>20</v>
      </c>
      <c r="AB15" s="23" t="s">
        <v>22</v>
      </c>
      <c r="AC15" s="23" t="s">
        <v>22</v>
      </c>
      <c r="AD15" s="23" t="s">
        <v>22</v>
      </c>
      <c r="AE15" s="22" t="s">
        <v>20</v>
      </c>
      <c r="AF15" s="22" t="s">
        <v>20</v>
      </c>
      <c r="AG15" s="22" t="s">
        <v>20</v>
      </c>
      <c r="AH15" s="22" t="s">
        <v>20</v>
      </c>
      <c r="AI15" s="23"/>
      <c r="AJ15" s="24">
        <f t="shared" si="0"/>
        <v>136.00000000000014</v>
      </c>
      <c r="AK15" s="25">
        <f>IF($B15="","",$D15/5*NETWORKDAYS(DATE(C4,C3,1),EOMONTH(DATE(C4,C3,1),0),Feiertage))</f>
        <v>132</v>
      </c>
      <c r="AL15" s="26">
        <f t="shared" si="1"/>
        <v>4.0000000000001421</v>
      </c>
      <c r="AM15" s="27">
        <f t="shared" si="2"/>
        <v>17</v>
      </c>
      <c r="AN15" s="27">
        <f t="shared" si="3"/>
        <v>0</v>
      </c>
      <c r="AO15" s="27">
        <f t="shared" si="4"/>
        <v>0</v>
      </c>
    </row>
    <row r="16" spans="1:41" ht="16.5" customHeight="1" x14ac:dyDescent="0.25">
      <c r="A16" s="18">
        <v>10</v>
      </c>
      <c r="B16" s="19" t="s">
        <v>38</v>
      </c>
      <c r="C16" s="20" t="s">
        <v>39</v>
      </c>
      <c r="D16" s="21">
        <v>35</v>
      </c>
      <c r="E16" s="22" t="s">
        <v>40</v>
      </c>
      <c r="F16" s="22" t="s">
        <v>20</v>
      </c>
      <c r="G16" s="23" t="s">
        <v>21</v>
      </c>
      <c r="H16" s="23" t="s">
        <v>22</v>
      </c>
      <c r="I16" s="23" t="s">
        <v>22</v>
      </c>
      <c r="J16" s="23" t="s">
        <v>21</v>
      </c>
      <c r="K16" s="22" t="s">
        <v>20</v>
      </c>
      <c r="L16" s="22" t="s">
        <v>40</v>
      </c>
      <c r="M16" s="22" t="s">
        <v>20</v>
      </c>
      <c r="N16" s="22" t="s">
        <v>20</v>
      </c>
      <c r="O16" s="23" t="s">
        <v>22</v>
      </c>
      <c r="P16" s="23" t="s">
        <v>22</v>
      </c>
      <c r="Q16" s="22" t="s">
        <v>20</v>
      </c>
      <c r="R16" s="22" t="s">
        <v>20</v>
      </c>
      <c r="S16" s="22" t="s">
        <v>40</v>
      </c>
      <c r="T16" s="22" t="s">
        <v>20</v>
      </c>
      <c r="U16" s="22" t="s">
        <v>20</v>
      </c>
      <c r="V16" s="23" t="s">
        <v>22</v>
      </c>
      <c r="W16" s="23" t="s">
        <v>22</v>
      </c>
      <c r="X16" s="22" t="s">
        <v>20</v>
      </c>
      <c r="Y16" s="22" t="s">
        <v>20</v>
      </c>
      <c r="Z16" s="22" t="s">
        <v>40</v>
      </c>
      <c r="AA16" s="22" t="s">
        <v>20</v>
      </c>
      <c r="AB16" s="22" t="s">
        <v>20</v>
      </c>
      <c r="AC16" s="23" t="s">
        <v>22</v>
      </c>
      <c r="AD16" s="23" t="s">
        <v>22</v>
      </c>
      <c r="AE16" s="22" t="s">
        <v>20</v>
      </c>
      <c r="AF16" s="22" t="s">
        <v>20</v>
      </c>
      <c r="AG16" s="22" t="s">
        <v>40</v>
      </c>
      <c r="AH16" s="22" t="s">
        <v>20</v>
      </c>
      <c r="AI16" s="23"/>
      <c r="AJ16" s="24">
        <f t="shared" si="0"/>
        <v>155.00000000000009</v>
      </c>
      <c r="AK16" s="25">
        <f>IF($B16="","",$D16/5*NETWORKDAYS(DATE(C4,C3,1),EOMONTH(DATE(C4,C3,1),0),Feiertage))</f>
        <v>154</v>
      </c>
      <c r="AL16" s="26">
        <f t="shared" si="1"/>
        <v>1.0000000000000853</v>
      </c>
      <c r="AM16" s="27">
        <f t="shared" si="2"/>
        <v>20</v>
      </c>
      <c r="AN16" s="27">
        <f t="shared" si="3"/>
        <v>0</v>
      </c>
      <c r="AO16" s="27">
        <f t="shared" si="4"/>
        <v>0</v>
      </c>
    </row>
    <row r="17" spans="1:41" ht="16.5" customHeight="1" x14ac:dyDescent="0.25">
      <c r="A17" s="18">
        <v>11</v>
      </c>
      <c r="B17" s="28"/>
      <c r="C17" s="28"/>
      <c r="D17" s="29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4" t="str">
        <f t="shared" si="0"/>
        <v/>
      </c>
      <c r="AK17" s="25" t="str">
        <f>IF($B17="","",$D17/5*NETWORKDAYS(DATE(C4,C3,1),EOMONTH(DATE(C4,C3,1),0),Feiertage))</f>
        <v/>
      </c>
      <c r="AL17" s="26" t="str">
        <f t="shared" si="1"/>
        <v/>
      </c>
      <c r="AM17" s="27" t="str">
        <f t="shared" si="2"/>
        <v/>
      </c>
      <c r="AN17" s="27" t="str">
        <f t="shared" si="3"/>
        <v/>
      </c>
      <c r="AO17" s="27" t="str">
        <f t="shared" si="4"/>
        <v/>
      </c>
    </row>
    <row r="18" spans="1:41" ht="16.5" customHeight="1" x14ac:dyDescent="0.25">
      <c r="A18" s="18">
        <v>12</v>
      </c>
      <c r="B18" s="28"/>
      <c r="C18" s="28"/>
      <c r="D18" s="29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4" t="str">
        <f t="shared" si="0"/>
        <v/>
      </c>
      <c r="AK18" s="25" t="str">
        <f>IF($B18="","",$D18/5*NETWORKDAYS(DATE(C4,C3,1),EOMONTH(DATE(C4,C3,1),0),Feiertage))</f>
        <v/>
      </c>
      <c r="AL18" s="26" t="str">
        <f t="shared" si="1"/>
        <v/>
      </c>
      <c r="AM18" s="27" t="str">
        <f t="shared" si="2"/>
        <v/>
      </c>
      <c r="AN18" s="27" t="str">
        <f t="shared" si="3"/>
        <v/>
      </c>
      <c r="AO18" s="27" t="str">
        <f t="shared" si="4"/>
        <v/>
      </c>
    </row>
    <row r="19" spans="1:41" ht="15.75" customHeight="1" x14ac:dyDescent="0.25">
      <c r="A19" s="30"/>
      <c r="B19" s="31" t="s">
        <v>41</v>
      </c>
      <c r="C19" s="30"/>
      <c r="D19" s="30"/>
      <c r="E19" s="32">
        <f t="shared" ref="E19:AI19" si="5">IF(E5="","",SUMPRODUCT(COUNTIF(E7:E18,Arbeitscodes)))</f>
        <v>8</v>
      </c>
      <c r="F19" s="32">
        <f t="shared" si="5"/>
        <v>9</v>
      </c>
      <c r="G19" s="32">
        <f t="shared" si="5"/>
        <v>0</v>
      </c>
      <c r="H19" s="32">
        <f t="shared" si="5"/>
        <v>2</v>
      </c>
      <c r="I19" s="32">
        <f t="shared" si="5"/>
        <v>1</v>
      </c>
      <c r="J19" s="32">
        <f t="shared" si="5"/>
        <v>0</v>
      </c>
      <c r="K19" s="32">
        <f t="shared" si="5"/>
        <v>9</v>
      </c>
      <c r="L19" s="32">
        <f t="shared" si="5"/>
        <v>7</v>
      </c>
      <c r="M19" s="32">
        <f t="shared" si="5"/>
        <v>7</v>
      </c>
      <c r="N19" s="32">
        <f t="shared" si="5"/>
        <v>7</v>
      </c>
      <c r="O19" s="32">
        <f t="shared" si="5"/>
        <v>2</v>
      </c>
      <c r="P19" s="32">
        <f t="shared" si="5"/>
        <v>0</v>
      </c>
      <c r="Q19" s="32">
        <f t="shared" si="5"/>
        <v>8</v>
      </c>
      <c r="R19" s="32">
        <f t="shared" si="5"/>
        <v>9</v>
      </c>
      <c r="S19" s="32">
        <f t="shared" si="5"/>
        <v>8</v>
      </c>
      <c r="T19" s="32">
        <f t="shared" si="5"/>
        <v>9</v>
      </c>
      <c r="U19" s="32">
        <f t="shared" si="5"/>
        <v>9</v>
      </c>
      <c r="V19" s="32">
        <f t="shared" si="5"/>
        <v>2</v>
      </c>
      <c r="W19" s="32">
        <f t="shared" si="5"/>
        <v>1</v>
      </c>
      <c r="X19" s="32">
        <f t="shared" si="5"/>
        <v>8</v>
      </c>
      <c r="Y19" s="32">
        <f t="shared" si="5"/>
        <v>8</v>
      </c>
      <c r="Z19" s="32">
        <f t="shared" si="5"/>
        <v>7</v>
      </c>
      <c r="AA19" s="32">
        <f t="shared" si="5"/>
        <v>8</v>
      </c>
      <c r="AB19" s="32">
        <f t="shared" si="5"/>
        <v>8</v>
      </c>
      <c r="AC19" s="32">
        <f t="shared" si="5"/>
        <v>2</v>
      </c>
      <c r="AD19" s="32">
        <f t="shared" si="5"/>
        <v>0</v>
      </c>
      <c r="AE19" s="32">
        <f t="shared" si="5"/>
        <v>9</v>
      </c>
      <c r="AF19" s="32">
        <f t="shared" si="5"/>
        <v>9</v>
      </c>
      <c r="AG19" s="32">
        <f t="shared" si="5"/>
        <v>8</v>
      </c>
      <c r="AH19" s="32">
        <f t="shared" si="5"/>
        <v>9</v>
      </c>
      <c r="AI19" s="32" t="str">
        <f t="shared" si="5"/>
        <v/>
      </c>
      <c r="AJ19" s="30"/>
      <c r="AK19" s="30"/>
      <c r="AL19" s="30"/>
      <c r="AM19" s="30"/>
      <c r="AN19" s="30"/>
      <c r="AO19" s="30"/>
    </row>
    <row r="20" spans="1:41" ht="15.75" customHeight="1" x14ac:dyDescent="0.25">
      <c r="A20" s="30"/>
      <c r="B20" s="31" t="s">
        <v>42</v>
      </c>
      <c r="C20" s="30"/>
      <c r="D20" s="30"/>
      <c r="E20" s="33">
        <f t="shared" ref="E20:AI20" si="6">IF(E5="","",SUMPRODUCT(COUNTIF(E7:E18,Schichtcodes),Nettostunden))</f>
        <v>60.499999999999993</v>
      </c>
      <c r="F20" s="33">
        <f t="shared" si="6"/>
        <v>69.000000000000028</v>
      </c>
      <c r="G20" s="33">
        <f t="shared" si="6"/>
        <v>0</v>
      </c>
      <c r="H20" s="33">
        <f t="shared" si="6"/>
        <v>15.000000000000028</v>
      </c>
      <c r="I20" s="33">
        <f t="shared" si="6"/>
        <v>7.4999999999999929</v>
      </c>
      <c r="J20" s="33">
        <f t="shared" si="6"/>
        <v>0</v>
      </c>
      <c r="K20" s="33">
        <f t="shared" si="6"/>
        <v>69.000000000000028</v>
      </c>
      <c r="L20" s="33">
        <f t="shared" si="6"/>
        <v>53.000000000000021</v>
      </c>
      <c r="M20" s="33">
        <f t="shared" si="6"/>
        <v>54.000000000000021</v>
      </c>
      <c r="N20" s="33">
        <f t="shared" si="6"/>
        <v>53.500000000000028</v>
      </c>
      <c r="O20" s="33">
        <f t="shared" si="6"/>
        <v>15.000000000000007</v>
      </c>
      <c r="P20" s="33">
        <f t="shared" si="6"/>
        <v>0</v>
      </c>
      <c r="Q20" s="33">
        <f t="shared" si="6"/>
        <v>61.500000000000014</v>
      </c>
      <c r="R20" s="33">
        <f t="shared" si="6"/>
        <v>69.000000000000028</v>
      </c>
      <c r="S20" s="33">
        <f t="shared" si="6"/>
        <v>60.499999999999993</v>
      </c>
      <c r="T20" s="33">
        <f t="shared" si="6"/>
        <v>69.000000000000028</v>
      </c>
      <c r="U20" s="33">
        <f t="shared" si="6"/>
        <v>68.500000000000014</v>
      </c>
      <c r="V20" s="33">
        <f t="shared" si="6"/>
        <v>15.000000000000007</v>
      </c>
      <c r="W20" s="33">
        <f t="shared" si="6"/>
        <v>7.5000000000000142</v>
      </c>
      <c r="X20" s="33">
        <f t="shared" si="6"/>
        <v>61.000000000000014</v>
      </c>
      <c r="Y20" s="33">
        <f t="shared" si="6"/>
        <v>61.000000000000014</v>
      </c>
      <c r="Z20" s="33">
        <f t="shared" si="6"/>
        <v>52.500000000000028</v>
      </c>
      <c r="AA20" s="33">
        <f t="shared" si="6"/>
        <v>61.000000000000014</v>
      </c>
      <c r="AB20" s="33">
        <f t="shared" si="6"/>
        <v>60.500000000000043</v>
      </c>
      <c r="AC20" s="33">
        <f t="shared" si="6"/>
        <v>15.000000000000028</v>
      </c>
      <c r="AD20" s="33">
        <f t="shared" si="6"/>
        <v>0</v>
      </c>
      <c r="AE20" s="33">
        <f t="shared" si="6"/>
        <v>69.000000000000028</v>
      </c>
      <c r="AF20" s="33">
        <f t="shared" si="6"/>
        <v>69.000000000000028</v>
      </c>
      <c r="AG20" s="33">
        <f t="shared" si="6"/>
        <v>60.499999999999993</v>
      </c>
      <c r="AH20" s="33">
        <f t="shared" si="6"/>
        <v>69.000000000000028</v>
      </c>
      <c r="AI20" s="33" t="str">
        <f t="shared" si="6"/>
        <v/>
      </c>
      <c r="AJ20" s="30"/>
      <c r="AK20" s="30"/>
      <c r="AL20" s="30"/>
      <c r="AM20" s="30"/>
      <c r="AN20" s="30"/>
      <c r="AO20" s="30"/>
    </row>
    <row r="22" spans="1:41" x14ac:dyDescent="0.25">
      <c r="B22" s="34" t="s">
        <v>43</v>
      </c>
    </row>
    <row r="23" spans="1:41" x14ac:dyDescent="0.25">
      <c r="B23" s="35" t="s">
        <v>26</v>
      </c>
      <c r="C23" s="4" t="str">
        <f>Konfiguration!B5&amp;IF(Konfiguration!F5&gt;0,"  ("&amp;TEXT(Konfiguration!F5,"0.0")&amp;" Std)","")</f>
        <v>Frühdienst  (07 Std)</v>
      </c>
      <c r="D23" s="4"/>
      <c r="E23" s="4"/>
      <c r="F23" s="4"/>
      <c r="G23" s="4"/>
      <c r="H23" s="36" t="s">
        <v>20</v>
      </c>
      <c r="I23" s="4" t="str">
        <f>Konfiguration!B8&amp;IF(Konfiguration!F8&gt;0,"  ("&amp;TEXT(Konfiguration!F8,"0.0")&amp;" Std)","")</f>
        <v>Tagdienst  (08 Std)</v>
      </c>
      <c r="J23" s="4"/>
      <c r="K23" s="4"/>
      <c r="L23" s="4"/>
      <c r="M23" s="4"/>
      <c r="N23" s="37" t="s">
        <v>36</v>
      </c>
      <c r="O23" s="4" t="str">
        <f>Konfiguration!B11&amp;IF(Konfiguration!F11&gt;0,"  ("&amp;TEXT(Konfiguration!F11,"0.0")&amp;" Std)","")</f>
        <v>Krank</v>
      </c>
      <c r="P23" s="4"/>
      <c r="Q23" s="4"/>
      <c r="R23" s="4"/>
      <c r="S23" s="4"/>
    </row>
    <row r="24" spans="1:41" x14ac:dyDescent="0.25">
      <c r="B24" s="38" t="s">
        <v>27</v>
      </c>
      <c r="C24" s="4" t="str">
        <f>Konfiguration!B6&amp;IF(Konfiguration!F6&gt;0,"  ("&amp;TEXT(Konfiguration!F6,"0.0")&amp;" Std)","")</f>
        <v>Spätdienst  (08 Std)</v>
      </c>
      <c r="D24" s="4"/>
      <c r="E24" s="4"/>
      <c r="F24" s="4"/>
      <c r="G24" s="4"/>
      <c r="H24" s="39" t="s">
        <v>40</v>
      </c>
      <c r="I24" s="4" t="str">
        <f>Konfiguration!B9&amp;IF(Konfiguration!F9&gt;0,"  ("&amp;TEXT(Konfiguration!F9,"0.0")&amp;" Std)","")</f>
        <v>Fortbildung  (07 Std)</v>
      </c>
      <c r="J24" s="4"/>
      <c r="K24" s="4"/>
      <c r="L24" s="4"/>
      <c r="M24" s="4"/>
      <c r="N24" s="40" t="s">
        <v>22</v>
      </c>
      <c r="O24" s="4" t="str">
        <f>Konfiguration!B12&amp;IF(Konfiguration!F12&gt;0,"  ("&amp;TEXT(Konfiguration!F12,"0.0")&amp;" Std)","")</f>
        <v>Frei</v>
      </c>
      <c r="P24" s="4"/>
      <c r="Q24" s="4"/>
      <c r="R24" s="4"/>
      <c r="S24" s="4"/>
    </row>
    <row r="25" spans="1:41" x14ac:dyDescent="0.25">
      <c r="B25" s="41" t="s">
        <v>28</v>
      </c>
      <c r="C25" s="4" t="str">
        <f>Konfiguration!B7&amp;IF(Konfiguration!F7&gt;0,"  ("&amp;TEXT(Konfiguration!F7,"0.0")&amp;" Std)","")</f>
        <v>Nachtdienst  (07 Std)</v>
      </c>
      <c r="D25" s="4"/>
      <c r="E25" s="4"/>
      <c r="F25" s="4"/>
      <c r="G25" s="4"/>
      <c r="H25" s="42" t="s">
        <v>23</v>
      </c>
      <c r="I25" s="4" t="str">
        <f>Konfiguration!B10&amp;IF(Konfiguration!F10&gt;0,"  ("&amp;TEXT(Konfiguration!F10,"0.0")&amp;" Std)","")</f>
        <v>Urlaub</v>
      </c>
      <c r="J25" s="4"/>
      <c r="K25" s="4"/>
      <c r="L25" s="4"/>
      <c r="M25" s="4"/>
      <c r="N25" s="43" t="s">
        <v>21</v>
      </c>
      <c r="O25" s="4" t="str">
        <f>Konfiguration!B13&amp;IF(Konfiguration!F13&gt;0,"  ("&amp;TEXT(Konfiguration!F13,"0.0")&amp;" Std)","")</f>
        <v>Feiertag</v>
      </c>
      <c r="P25" s="4"/>
      <c r="Q25" s="4"/>
      <c r="R25" s="4"/>
      <c r="S25" s="4"/>
    </row>
    <row r="27" spans="1:41" ht="30" customHeight="1" x14ac:dyDescent="0.25">
      <c r="B27" s="3" t="s">
        <v>44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</row>
  </sheetData>
  <mergeCells count="35">
    <mergeCell ref="C25:G25"/>
    <mergeCell ref="I25:M25"/>
    <mergeCell ref="O25:S25"/>
    <mergeCell ref="B27:AO27"/>
    <mergeCell ref="C23:G23"/>
    <mergeCell ref="I23:M23"/>
    <mergeCell ref="O23:S23"/>
    <mergeCell ref="C24:G24"/>
    <mergeCell ref="I24:M24"/>
    <mergeCell ref="O24:S24"/>
    <mergeCell ref="AK5:AK6"/>
    <mergeCell ref="AL5:AL6"/>
    <mergeCell ref="AM5:AM6"/>
    <mergeCell ref="AN5:AN6"/>
    <mergeCell ref="AO5:AO6"/>
    <mergeCell ref="A5:A6"/>
    <mergeCell ref="B5:B6"/>
    <mergeCell ref="C5:C6"/>
    <mergeCell ref="D5:D6"/>
    <mergeCell ref="AJ5:AJ6"/>
    <mergeCell ref="A1:AO1"/>
    <mergeCell ref="A2:AO2"/>
    <mergeCell ref="A3:A4"/>
    <mergeCell ref="C3:D3"/>
    <mergeCell ref="E3:K3"/>
    <mergeCell ref="L3:R3"/>
    <mergeCell ref="S3:Y3"/>
    <mergeCell ref="Z3:AF3"/>
    <mergeCell ref="AG3:AO3"/>
    <mergeCell ref="C4:D4"/>
    <mergeCell ref="E4:K4"/>
    <mergeCell ref="L4:R4"/>
    <mergeCell ref="S4:Y4"/>
    <mergeCell ref="Z4:AF4"/>
    <mergeCell ref="AG4:AO4"/>
  </mergeCells>
  <conditionalFormatting sqref="E5:AI20">
    <cfRule type="expression" dxfId="10" priority="11">
      <formula>E$5=""</formula>
    </cfRule>
    <cfRule type="expression" dxfId="9" priority="12">
      <formula>OR(E$6="Sa",E$6="So")</formula>
    </cfRule>
  </conditionalFormatting>
  <conditionalFormatting sqref="E7:AI18">
    <cfRule type="cellIs" dxfId="8" priority="2" operator="equal">
      <formula>"F"</formula>
    </cfRule>
    <cfRule type="cellIs" dxfId="7" priority="3" operator="equal">
      <formula>"S"</formula>
    </cfRule>
    <cfRule type="cellIs" dxfId="6" priority="4" operator="equal">
      <formula>"N"</formula>
    </cfRule>
    <cfRule type="cellIs" dxfId="5" priority="5" operator="equal">
      <formula>"T"</formula>
    </cfRule>
    <cfRule type="cellIs" dxfId="4" priority="6" operator="equal">
      <formula>"FB"</formula>
    </cfRule>
    <cfRule type="cellIs" dxfId="3" priority="7" operator="equal">
      <formula>"U"</formula>
    </cfRule>
    <cfRule type="cellIs" dxfId="2" priority="8" operator="equal">
      <formula>"K"</formula>
    </cfRule>
    <cfRule type="cellIs" dxfId="1" priority="9" operator="equal">
      <formula>"FR"</formula>
    </cfRule>
    <cfRule type="cellIs" dxfId="0" priority="10" operator="equal">
      <formula>"FT"</formula>
    </cfRule>
  </conditionalFormatting>
  <dataValidations count="2">
    <dataValidation type="list" showErrorMessage="1" sqref="C3" xr:uid="{00000000-0002-0000-0000-000000000000}">
      <formula1>"1,2,3,4,5,6,7,8,9,10,11,12"</formula1>
      <formula2>0</formula2>
    </dataValidation>
    <dataValidation type="list" allowBlank="1" sqref="E7:AI18" xr:uid="{00000000-0002-0000-0000-000001000000}">
      <formula1>Schichtcodes</formula1>
      <formula2>0</formula2>
    </dataValidation>
  </dataValidations>
  <pageMargins left="0.3" right="0.3" top="0.4" bottom="0.4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showGridLines="0" zoomScaleNormal="100" workbookViewId="0"/>
  </sheetViews>
  <sheetFormatPr baseColWidth="10" defaultColWidth="8.7109375" defaultRowHeight="15" x14ac:dyDescent="0.25"/>
  <cols>
    <col min="1" max="1" width="9" customWidth="1"/>
    <col min="2" max="2" width="26" customWidth="1"/>
    <col min="3" max="4" width="10" customWidth="1"/>
    <col min="5" max="5" width="12" customWidth="1"/>
    <col min="6" max="6" width="13" customWidth="1"/>
  </cols>
  <sheetData>
    <row r="1" spans="1:6" ht="25.5" customHeight="1" x14ac:dyDescent="0.25">
      <c r="A1" s="2" t="s">
        <v>45</v>
      </c>
      <c r="B1" s="2"/>
      <c r="C1" s="2"/>
      <c r="D1" s="2"/>
      <c r="E1" s="2"/>
      <c r="F1" s="2"/>
    </row>
    <row r="2" spans="1:6" ht="25.5" customHeight="1" x14ac:dyDescent="0.25">
      <c r="A2" s="3" t="s">
        <v>46</v>
      </c>
      <c r="B2" s="3"/>
      <c r="C2" s="3"/>
      <c r="D2" s="3"/>
      <c r="E2" s="3"/>
      <c r="F2" s="3"/>
    </row>
    <row r="3" spans="1:6" x14ac:dyDescent="0.25">
      <c r="A3" s="34" t="s">
        <v>47</v>
      </c>
    </row>
    <row r="4" spans="1:6" ht="30" customHeight="1" x14ac:dyDescent="0.25">
      <c r="A4" s="44" t="s">
        <v>48</v>
      </c>
      <c r="B4" s="44" t="s">
        <v>49</v>
      </c>
      <c r="C4" s="44" t="s">
        <v>50</v>
      </c>
      <c r="D4" s="44" t="s">
        <v>51</v>
      </c>
      <c r="E4" s="44" t="s">
        <v>52</v>
      </c>
      <c r="F4" s="44" t="s">
        <v>53</v>
      </c>
    </row>
    <row r="5" spans="1:6" x14ac:dyDescent="0.25">
      <c r="A5" s="45" t="s">
        <v>26</v>
      </c>
      <c r="B5" s="46" t="s">
        <v>54</v>
      </c>
      <c r="C5" s="47">
        <v>0.25</v>
      </c>
      <c r="D5" s="47">
        <v>0.58333333333333304</v>
      </c>
      <c r="E5" s="25">
        <v>0.5</v>
      </c>
      <c r="F5" s="24">
        <f t="shared" ref="F5:F13" si="0">IF(OR(ISBLANK(C5),ISBLANK(D5)),0,MOD(D5-C5,1)*24-E5)</f>
        <v>7.4999999999999929</v>
      </c>
    </row>
    <row r="6" spans="1:6" x14ac:dyDescent="0.25">
      <c r="A6" s="48" t="s">
        <v>27</v>
      </c>
      <c r="B6" s="46" t="s">
        <v>55</v>
      </c>
      <c r="C6" s="47">
        <v>0.58333333333333304</v>
      </c>
      <c r="D6" s="47">
        <v>0.91666666666666696</v>
      </c>
      <c r="E6" s="25">
        <v>0.5</v>
      </c>
      <c r="F6" s="24">
        <f t="shared" si="0"/>
        <v>7.5000000000000142</v>
      </c>
    </row>
    <row r="7" spans="1:6" x14ac:dyDescent="0.25">
      <c r="A7" s="49" t="s">
        <v>28</v>
      </c>
      <c r="B7" s="46" t="s">
        <v>56</v>
      </c>
      <c r="C7" s="47">
        <v>0.91666666666666696</v>
      </c>
      <c r="D7" s="47">
        <v>0.25</v>
      </c>
      <c r="E7" s="25">
        <v>0.5</v>
      </c>
      <c r="F7" s="24">
        <f t="shared" si="0"/>
        <v>7.4999999999999929</v>
      </c>
    </row>
    <row r="8" spans="1:6" x14ac:dyDescent="0.25">
      <c r="A8" s="50" t="s">
        <v>20</v>
      </c>
      <c r="B8" s="46" t="s">
        <v>57</v>
      </c>
      <c r="C8" s="47">
        <v>0.33333333333333298</v>
      </c>
      <c r="D8" s="47">
        <v>0.6875</v>
      </c>
      <c r="E8" s="25">
        <v>0.5</v>
      </c>
      <c r="F8" s="24">
        <f t="shared" si="0"/>
        <v>8.0000000000000089</v>
      </c>
    </row>
    <row r="9" spans="1:6" x14ac:dyDescent="0.25">
      <c r="A9" s="51" t="s">
        <v>40</v>
      </c>
      <c r="B9" s="46" t="s">
        <v>58</v>
      </c>
      <c r="C9" s="47">
        <v>0.375</v>
      </c>
      <c r="D9" s="47">
        <v>0.70833333333333304</v>
      </c>
      <c r="E9" s="25">
        <v>1</v>
      </c>
      <c r="F9" s="24">
        <f t="shared" si="0"/>
        <v>6.9999999999999929</v>
      </c>
    </row>
    <row r="10" spans="1:6" x14ac:dyDescent="0.25">
      <c r="A10" s="52" t="s">
        <v>23</v>
      </c>
      <c r="B10" s="46" t="s">
        <v>16</v>
      </c>
      <c r="C10" s="47"/>
      <c r="D10" s="47"/>
      <c r="E10" s="25"/>
      <c r="F10" s="24">
        <f t="shared" si="0"/>
        <v>0</v>
      </c>
    </row>
    <row r="11" spans="1:6" x14ac:dyDescent="0.25">
      <c r="A11" s="53" t="s">
        <v>36</v>
      </c>
      <c r="B11" s="46" t="s">
        <v>17</v>
      </c>
      <c r="C11" s="47"/>
      <c r="D11" s="47"/>
      <c r="E11" s="25"/>
      <c r="F11" s="24">
        <f t="shared" si="0"/>
        <v>0</v>
      </c>
    </row>
    <row r="12" spans="1:6" x14ac:dyDescent="0.25">
      <c r="A12" s="54" t="s">
        <v>22</v>
      </c>
      <c r="B12" s="46" t="s">
        <v>59</v>
      </c>
      <c r="C12" s="47"/>
      <c r="D12" s="47"/>
      <c r="E12" s="25"/>
      <c r="F12" s="24">
        <f t="shared" si="0"/>
        <v>0</v>
      </c>
    </row>
    <row r="13" spans="1:6" x14ac:dyDescent="0.25">
      <c r="A13" s="55" t="s">
        <v>21</v>
      </c>
      <c r="B13" s="46" t="s">
        <v>60</v>
      </c>
      <c r="C13" s="47"/>
      <c r="D13" s="47"/>
      <c r="E13" s="25"/>
      <c r="F13" s="24">
        <f t="shared" si="0"/>
        <v>0</v>
      </c>
    </row>
    <row r="15" spans="1:6" x14ac:dyDescent="0.25">
      <c r="A15" s="34" t="s">
        <v>61</v>
      </c>
    </row>
    <row r="16" spans="1:6" x14ac:dyDescent="0.25">
      <c r="A16" s="56" t="s">
        <v>62</v>
      </c>
      <c r="B16" s="56" t="s">
        <v>49</v>
      </c>
    </row>
    <row r="17" spans="1:4" x14ac:dyDescent="0.25">
      <c r="A17" s="57">
        <v>46023</v>
      </c>
      <c r="B17" s="46" t="s">
        <v>63</v>
      </c>
    </row>
    <row r="18" spans="1:4" x14ac:dyDescent="0.25">
      <c r="A18" s="57">
        <v>46115</v>
      </c>
      <c r="B18" s="46" t="s">
        <v>64</v>
      </c>
    </row>
    <row r="19" spans="1:4" x14ac:dyDescent="0.25">
      <c r="A19" s="57">
        <v>46118</v>
      </c>
      <c r="B19" s="46" t="s">
        <v>65</v>
      </c>
    </row>
    <row r="20" spans="1:4" x14ac:dyDescent="0.25">
      <c r="A20" s="57">
        <v>46143</v>
      </c>
      <c r="B20" s="46" t="s">
        <v>66</v>
      </c>
    </row>
    <row r="21" spans="1:4" x14ac:dyDescent="0.25">
      <c r="A21" s="57">
        <v>46156</v>
      </c>
      <c r="B21" s="46" t="s">
        <v>67</v>
      </c>
    </row>
    <row r="22" spans="1:4" x14ac:dyDescent="0.25">
      <c r="A22" s="57">
        <v>46167</v>
      </c>
      <c r="B22" s="46" t="s">
        <v>68</v>
      </c>
    </row>
    <row r="23" spans="1:4" x14ac:dyDescent="0.25">
      <c r="A23" s="57">
        <v>46298</v>
      </c>
      <c r="B23" s="46" t="s">
        <v>69</v>
      </c>
    </row>
    <row r="24" spans="1:4" x14ac:dyDescent="0.25">
      <c r="A24" s="57">
        <v>46381</v>
      </c>
      <c r="B24" s="46" t="s">
        <v>70</v>
      </c>
    </row>
    <row r="25" spans="1:4" x14ac:dyDescent="0.25">
      <c r="A25" s="57">
        <v>46382</v>
      </c>
      <c r="B25" s="46" t="s">
        <v>71</v>
      </c>
    </row>
    <row r="27" spans="1:4" x14ac:dyDescent="0.25">
      <c r="A27" s="1" t="s">
        <v>72</v>
      </c>
      <c r="B27" s="1"/>
      <c r="C27" s="1"/>
      <c r="D27" s="1"/>
    </row>
  </sheetData>
  <mergeCells count="3">
    <mergeCell ref="A1:F1"/>
    <mergeCell ref="A2:F2"/>
    <mergeCell ref="A27:D27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Dienstplan</vt:lpstr>
      <vt:lpstr>Konfiguration</vt:lpstr>
      <vt:lpstr>Arbeitscodes</vt:lpstr>
      <vt:lpstr>Dienstplan!Drucktitel</vt:lpstr>
      <vt:lpstr>Feiertage</vt:lpstr>
      <vt:lpstr>Nettostunden</vt:lpstr>
      <vt:lpstr>Schichtcodes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Dienstplan – Monatsplanung</dc:title>
  <dc:subject/>
  <dc:creator>Vorlage</dc:creator>
  <dc:description/>
  <cp:lastModifiedBy>Sergio Jiménez Canales</cp:lastModifiedBy>
  <cp:revision>0</cp:revision>
  <dcterms:created xsi:type="dcterms:W3CDTF">2026-09-04T05:52:55Z</dcterms:created>
  <dcterms:modified xsi:type="dcterms:W3CDTF">2026-09-04T05:55:25Z</dcterms:modified>
  <dc:language>en-US</dc:language>
</cp:coreProperties>
</file>