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ergi\Documents\SEO\SEO\AA_Webs\Excel Vorlage\Generador\"/>
    </mc:Choice>
  </mc:AlternateContent>
  <xr:revisionPtr revIDLastSave="0" documentId="13_ncr:1_{EC18CDC5-5562-4B1D-A628-956468E64149}" xr6:coauthVersionLast="47" xr6:coauthVersionMax="47" xr10:uidLastSave="{00000000-0000-0000-0000-000000000000}"/>
  <bookViews>
    <workbookView xWindow="1035" yWindow="1035" windowWidth="25500" windowHeight="13500" tabRatio="500" activeTab="1" xr2:uid="{00000000-000D-0000-FFFF-FFFF00000000}"/>
  </bookViews>
  <sheets>
    <sheet name="Anleitung" sheetId="1" r:id="rId1"/>
    <sheet name="Dashboard" sheetId="2" r:id="rId2"/>
    <sheet name="Fahrzeuge" sheetId="3" r:id="rId3"/>
    <sheet name="Betriebskosten" sheetId="4" r:id="rId4"/>
    <sheet name="Termine" sheetId="5" r:id="rId5"/>
    <sheet name="Auswertung" sheetId="6" r:id="rId6"/>
    <sheet name="Listen" sheetId="7" state="hidden" r:id="rId7"/>
  </sheets>
  <definedNames>
    <definedName name="_xlnm._FilterDatabase" localSheetId="3" hidden="1">Betriebskosten!$A$4:$J$44</definedName>
    <definedName name="_xlnm._FilterDatabase" localSheetId="2" hidden="1">Fahrzeuge!$A$4:$Q$22</definedName>
    <definedName name="_xlnm._FilterDatabase" localSheetId="4" hidden="1">Termine!$A$4:$G$27</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45" i="6" l="1"/>
  <c r="C45" i="6"/>
  <c r="D44" i="6"/>
  <c r="C44" i="6"/>
  <c r="E43" i="6"/>
  <c r="D43" i="6"/>
  <c r="C43" i="6"/>
  <c r="F43" i="6" s="1"/>
  <c r="G43" i="6" s="1"/>
  <c r="D42" i="6"/>
  <c r="C42" i="6"/>
  <c r="D41" i="6"/>
  <c r="C41" i="6"/>
  <c r="D40" i="6"/>
  <c r="C40" i="6"/>
  <c r="D39" i="6"/>
  <c r="C39" i="6"/>
  <c r="D38" i="6"/>
  <c r="C38" i="6"/>
  <c r="D37" i="6"/>
  <c r="C37" i="6"/>
  <c r="D36" i="6"/>
  <c r="D46" i="6" s="1"/>
  <c r="C36" i="6"/>
  <c r="C46" i="6" s="1"/>
  <c r="C29" i="6"/>
  <c r="D15" i="6"/>
  <c r="C15" i="6"/>
  <c r="D14" i="6"/>
  <c r="C14" i="6"/>
  <c r="F13" i="6"/>
  <c r="E13" i="6"/>
  <c r="D13" i="6"/>
  <c r="C13" i="6"/>
  <c r="D12" i="6"/>
  <c r="C12" i="6"/>
  <c r="D11" i="6"/>
  <c r="C11" i="6"/>
  <c r="D10" i="6"/>
  <c r="C10" i="6"/>
  <c r="D9" i="6"/>
  <c r="C9" i="6"/>
  <c r="D8" i="6"/>
  <c r="C8" i="6"/>
  <c r="D7" i="6"/>
  <c r="C7" i="6"/>
  <c r="D6" i="6"/>
  <c r="D16" i="6" s="1"/>
  <c r="C6" i="6"/>
  <c r="I27" i="5"/>
  <c r="E27" i="5"/>
  <c r="D27" i="5"/>
  <c r="I26" i="5"/>
  <c r="E26" i="5"/>
  <c r="D26" i="5"/>
  <c r="I25" i="5"/>
  <c r="E25" i="5"/>
  <c r="D25" i="5"/>
  <c r="I24" i="5"/>
  <c r="E24" i="5"/>
  <c r="D24" i="5"/>
  <c r="I23" i="5"/>
  <c r="E23" i="5"/>
  <c r="D23" i="5"/>
  <c r="I22" i="5"/>
  <c r="E22" i="5"/>
  <c r="D22" i="5"/>
  <c r="I21" i="5"/>
  <c r="E21" i="5"/>
  <c r="D21" i="5"/>
  <c r="I20" i="5"/>
  <c r="E20" i="5"/>
  <c r="D20" i="5"/>
  <c r="F19" i="5"/>
  <c r="C19" i="5"/>
  <c r="F18" i="5"/>
  <c r="C18" i="5"/>
  <c r="F17" i="5"/>
  <c r="C17" i="5"/>
  <c r="C16" i="5"/>
  <c r="F15" i="5"/>
  <c r="C15" i="5"/>
  <c r="F14" i="5"/>
  <c r="C14" i="5"/>
  <c r="D14" i="5" s="1"/>
  <c r="C13" i="5"/>
  <c r="F12" i="5"/>
  <c r="C12" i="5"/>
  <c r="F11" i="5"/>
  <c r="C11" i="5"/>
  <c r="F10" i="5"/>
  <c r="C10" i="5"/>
  <c r="F9" i="5"/>
  <c r="C9" i="5"/>
  <c r="F8" i="5"/>
  <c r="C8" i="5"/>
  <c r="F7" i="5"/>
  <c r="C7" i="5"/>
  <c r="C6" i="5"/>
  <c r="D6" i="5" s="1"/>
  <c r="I6" i="5" s="1"/>
  <c r="F5" i="5"/>
  <c r="C5" i="5"/>
  <c r="E45" i="4"/>
  <c r="H44" i="4"/>
  <c r="G44" i="4"/>
  <c r="H43" i="4"/>
  <c r="G43" i="4"/>
  <c r="H42" i="4"/>
  <c r="G42" i="4"/>
  <c r="H41" i="4"/>
  <c r="G41" i="4"/>
  <c r="H40" i="4"/>
  <c r="G40" i="4"/>
  <c r="H39" i="4"/>
  <c r="G39" i="4"/>
  <c r="H38" i="4"/>
  <c r="G38" i="4"/>
  <c r="H37" i="4"/>
  <c r="G37" i="4"/>
  <c r="H36" i="4"/>
  <c r="G36" i="4"/>
  <c r="H35" i="4"/>
  <c r="G35" i="4"/>
  <c r="H34" i="4"/>
  <c r="G34" i="4"/>
  <c r="H33" i="4"/>
  <c r="G33" i="4"/>
  <c r="H32" i="4"/>
  <c r="G32" i="4"/>
  <c r="H31" i="4"/>
  <c r="G31" i="4"/>
  <c r="H30" i="4"/>
  <c r="G30" i="4"/>
  <c r="H29" i="4"/>
  <c r="G29" i="4"/>
  <c r="G28" i="4"/>
  <c r="H28" i="4" s="1"/>
  <c r="G27" i="4"/>
  <c r="H27" i="4" s="1"/>
  <c r="H26" i="4"/>
  <c r="G26" i="4"/>
  <c r="G25" i="4"/>
  <c r="H25" i="4" s="1"/>
  <c r="H24" i="4"/>
  <c r="G24" i="4"/>
  <c r="G23" i="4"/>
  <c r="H23" i="4" s="1"/>
  <c r="G22" i="4"/>
  <c r="H22" i="4" s="1"/>
  <c r="G21" i="4"/>
  <c r="H21" i="4" s="1"/>
  <c r="H20" i="4"/>
  <c r="G20" i="4"/>
  <c r="H19" i="4"/>
  <c r="G19" i="4"/>
  <c r="G18" i="4"/>
  <c r="H18" i="4" s="1"/>
  <c r="G17" i="4"/>
  <c r="H17" i="4" s="1"/>
  <c r="H16" i="4"/>
  <c r="G16" i="4"/>
  <c r="G15" i="4"/>
  <c r="H15" i="4" s="1"/>
  <c r="H14" i="4"/>
  <c r="C26" i="6" s="1"/>
  <c r="G14" i="4"/>
  <c r="G13" i="4"/>
  <c r="H13" i="4" s="1"/>
  <c r="G12" i="4"/>
  <c r="H12" i="4" s="1"/>
  <c r="G11" i="4"/>
  <c r="H11" i="4" s="1"/>
  <c r="H10" i="4"/>
  <c r="E10" i="6" s="1"/>
  <c r="G10" i="4"/>
  <c r="H9" i="4"/>
  <c r="G9" i="4"/>
  <c r="G8" i="4"/>
  <c r="H8" i="4" s="1"/>
  <c r="G7" i="4"/>
  <c r="H7" i="4" s="1"/>
  <c r="H6" i="4"/>
  <c r="G6" i="4"/>
  <c r="G5" i="4"/>
  <c r="G45" i="4" s="1"/>
  <c r="C28" i="2"/>
  <c r="B28" i="2"/>
  <c r="B27" i="2"/>
  <c r="B26" i="2"/>
  <c r="B25" i="2"/>
  <c r="B24" i="2"/>
  <c r="B23" i="2"/>
  <c r="B22" i="2"/>
  <c r="B21" i="2"/>
  <c r="B20" i="2"/>
  <c r="H6" i="2"/>
  <c r="E6" i="2"/>
  <c r="B6" i="2"/>
  <c r="B3" i="2"/>
  <c r="D5" i="5" l="1"/>
  <c r="I5" i="5" s="1"/>
  <c r="D13" i="5"/>
  <c r="I13" i="5" s="1"/>
  <c r="D9" i="5"/>
  <c r="I9" i="5" s="1"/>
  <c r="D10" i="5"/>
  <c r="I10" i="5" s="1"/>
  <c r="E14" i="6"/>
  <c r="C25" i="6"/>
  <c r="E44" i="6"/>
  <c r="F44" i="6" s="1"/>
  <c r="G44" i="6" s="1"/>
  <c r="C28" i="6"/>
  <c r="E37" i="6"/>
  <c r="F37" i="6" s="1"/>
  <c r="G37" i="6" s="1"/>
  <c r="C27" i="6"/>
  <c r="E41" i="6"/>
  <c r="F41" i="6" s="1"/>
  <c r="G41" i="6" s="1"/>
  <c r="E11" i="6"/>
  <c r="E9" i="6"/>
  <c r="C22" i="6"/>
  <c r="E39" i="6"/>
  <c r="F39" i="6" s="1"/>
  <c r="G39" i="6" s="1"/>
  <c r="E45" i="6"/>
  <c r="E15" i="6"/>
  <c r="C25" i="2"/>
  <c r="E42" i="6"/>
  <c r="F42" i="6" s="1"/>
  <c r="G42" i="6" s="1"/>
  <c r="I14" i="5"/>
  <c r="E14" i="5"/>
  <c r="F10" i="6"/>
  <c r="F45" i="6"/>
  <c r="G45" i="6" s="1"/>
  <c r="E38" i="6"/>
  <c r="F38" i="6" s="1"/>
  <c r="G38" i="6" s="1"/>
  <c r="C24" i="6"/>
  <c r="E8" i="6"/>
  <c r="E5" i="5"/>
  <c r="D18" i="5"/>
  <c r="I18" i="5" s="1"/>
  <c r="E7" i="6"/>
  <c r="E6" i="5"/>
  <c r="D19" i="5"/>
  <c r="I19" i="5" s="1"/>
  <c r="E12" i="6"/>
  <c r="D15" i="5"/>
  <c r="I15" i="5" s="1"/>
  <c r="E40" i="6"/>
  <c r="F40" i="6" s="1"/>
  <c r="G40" i="6" s="1"/>
  <c r="D7" i="5"/>
  <c r="E7" i="5" s="1"/>
  <c r="D11" i="5"/>
  <c r="E11" i="5" s="1"/>
  <c r="C23" i="6"/>
  <c r="D16" i="5"/>
  <c r="I16" i="5" s="1"/>
  <c r="D8" i="5"/>
  <c r="E8" i="5" s="1"/>
  <c r="D12" i="5"/>
  <c r="E12" i="5" s="1"/>
  <c r="H5" i="4"/>
  <c r="D17" i="5"/>
  <c r="I17" i="5" s="1"/>
  <c r="E10" i="5" l="1"/>
  <c r="E9" i="5"/>
  <c r="E13" i="5"/>
  <c r="C21" i="2"/>
  <c r="F9" i="6"/>
  <c r="E17" i="5"/>
  <c r="I8" i="5"/>
  <c r="F11" i="6"/>
  <c r="C26" i="2"/>
  <c r="F7" i="6"/>
  <c r="H45" i="4"/>
  <c r="E6" i="6"/>
  <c r="E36" i="6"/>
  <c r="C21" i="6"/>
  <c r="F12" i="6"/>
  <c r="F8" i="6"/>
  <c r="C23" i="2"/>
  <c r="C22" i="2"/>
  <c r="C27" i="2"/>
  <c r="E15" i="5"/>
  <c r="C24" i="2"/>
  <c r="I12" i="5"/>
  <c r="E16" i="5"/>
  <c r="F14" i="6"/>
  <c r="E19" i="5"/>
  <c r="I11" i="5"/>
  <c r="E18" i="5"/>
  <c r="B14" i="2" s="1"/>
  <c r="F15" i="6"/>
  <c r="I7" i="5"/>
  <c r="F6" i="6" l="1"/>
  <c r="E16" i="6"/>
  <c r="E46" i="6"/>
  <c r="F36" i="6"/>
  <c r="H10" i="2"/>
  <c r="C30" i="6"/>
  <c r="C20" i="2"/>
  <c r="I24" i="2"/>
  <c r="I20" i="2"/>
  <c r="H20" i="2"/>
  <c r="H24" i="2"/>
  <c r="G24" i="2"/>
  <c r="I23" i="2"/>
  <c r="H23" i="2"/>
  <c r="G23" i="2"/>
  <c r="I22" i="2"/>
  <c r="H22" i="2"/>
  <c r="G22" i="2"/>
  <c r="I25" i="2"/>
  <c r="I21" i="2"/>
  <c r="H25" i="2"/>
  <c r="H21" i="2"/>
  <c r="G25" i="2"/>
  <c r="G21" i="2"/>
  <c r="G20" i="2"/>
  <c r="F46" i="6" l="1"/>
  <c r="E10" i="2" s="1"/>
  <c r="G36" i="6"/>
  <c r="G46" i="6" s="1"/>
  <c r="H14" i="2" s="1"/>
  <c r="D29" i="6"/>
  <c r="D26" i="6"/>
  <c r="D22" i="6"/>
  <c r="D23" i="6"/>
  <c r="D28" i="6"/>
  <c r="D25" i="6"/>
  <c r="D24" i="6"/>
  <c r="D27" i="6"/>
  <c r="D21" i="6"/>
  <c r="E14" i="2"/>
  <c r="B10" i="2"/>
  <c r="G10" i="6"/>
  <c r="G13" i="6"/>
  <c r="G8" i="6"/>
  <c r="G15" i="6"/>
  <c r="G9" i="6"/>
  <c r="G14" i="6"/>
  <c r="G11" i="6"/>
  <c r="G7" i="6"/>
  <c r="G12" i="6"/>
  <c r="G6" i="6"/>
</calcChain>
</file>

<file path=xl/sharedStrings.xml><?xml version="1.0" encoding="utf-8"?>
<sst xmlns="http://schemas.openxmlformats.org/spreadsheetml/2006/main" count="448" uniqueCount="249">
  <si>
    <t>FUHRPARKVERWALTUNG</t>
  </si>
  <si>
    <t>Vorlage zur Verwaltung von Fahrzeugen, Kosten und Terminen  ·  Geschäftsjahr 2026</t>
  </si>
  <si>
    <t>Willkommen</t>
  </si>
  <si>
    <t>Diese Arbeitsmappe bündelt Ihren gesamten Fuhrpark an einem Ort: Fahrzeugstammdaten, laufende Betriebskosten, wiederkehrende Termine und automatische Auswertungen. Alle Kennzahlen im Dashboard und in der Auswertung berechnen sich selbst aus Ihren Eingaben. Es sind keine Makros enthalten – die Datei läuft vollständig offline.</t>
  </si>
  <si>
    <t>Die Tabellenblätter im Überblick</t>
  </si>
  <si>
    <t>Blatt</t>
  </si>
  <si>
    <t>Zweck</t>
  </si>
  <si>
    <t>Dashboard</t>
  </si>
  <si>
    <t>Zentrale Übersicht mit Kennzahlen, Kostenverteilung und den nächsten Terminen. Rein automatisch – hier nichts eintragen.</t>
  </si>
  <si>
    <t>Fahrzeuge</t>
  </si>
  <si>
    <t>Stammdaten je Fahrzeug (eine Zeile = ein Fahrzeug). Das Kennzeichen ist der eindeutige Schlüssel für alle Verknüpfungen.</t>
  </si>
  <si>
    <t>Betriebskosten</t>
  </si>
  <si>
    <t>Laufende Kosten: Tanken, Wartung, Reparatur, Versicherung usw. Brutto wird aus Netto + MwSt automatisch berechnet.</t>
  </si>
  <si>
    <t>Termine</t>
  </si>
  <si>
    <t>Fristen wie HU, UVV, Inspektion oder Leasingende. Die Ampel zeigt automatisch, was bald fällig oder überfällig ist.</t>
  </si>
  <si>
    <t>Auswertung</t>
  </si>
  <si>
    <t>Automatische Summen pro Fahrzeug und pro Kostenart sowie eine einfache TCO-Schätzung (Total Cost of Ownership).</t>
  </si>
  <si>
    <t>Listen</t>
  </si>
  <si>
    <t>Ausgeblendetes Hilfsblatt mit den Werten für die Dropdown-Menüs. Nur bei Bedarf anpassen.</t>
  </si>
  <si>
    <t>Legende &amp; Farbcodierung</t>
  </si>
  <si>
    <t>Beispiel</t>
  </si>
  <si>
    <t>Blaue Schrift = Eingabefeld. Diese Zellen dürfen Sie ausfüllen und ändern.</t>
  </si>
  <si>
    <t>Grüne Zelle = automatisch berechnetes Ergebnis. Bitte nicht überschreiben.</t>
  </si>
  <si>
    <t>Status/Ampel GRÜN = alles in Ordnung bzw. Termin liegt in weiter Ferne.</t>
  </si>
  <si>
    <t>Ampel GELB = Termin wird in den nächsten 30 Tagen fällig – bitte einplanen.</t>
  </si>
  <si>
    <t>Ampel ROT = Termin ist überfällig oder heute fällig – dringend handeln.</t>
  </si>
  <si>
    <t>In vier Schritten startklar</t>
  </si>
  <si>
    <t>1.  Tragen Sie Ihre Fahrzeuge im Blatt „Fahrzeuge“ ein – ein eindeutiges Kennzeichen je Zeile.</t>
  </si>
  <si>
    <t>2.  Erfassen Sie laufende Kosten im Blatt „Betriebskosten“. Wählen Sie Kennzeichen und Kostenart aus den Dropdowns.</t>
  </si>
  <si>
    <t>3.  Pflegen Sie Fristen im Blatt „Termine“. Die Ampel und die Restlaufzeit rechnen sich von selbst.</t>
  </si>
  <si>
    <t>4.  Behalten Sie alles im „Dashboard“ und in der „Auswertung“ im Blick – beide aktualisieren sich automatisch.</t>
  </si>
  <si>
    <t>Hinweis: Alle enthaltenen Namen, Kennzeichen und Werte sind frei erfundene Beispiele und dienen nur der Veranschaulichung. Überschreiben Sie sie mit Ihren eigenen Daten. Für eine saubere Auswertung nutzen Sie in allen Blättern identische Kennzeichen.</t>
  </si>
  <si>
    <t>FAHRZEUGE GESAMT</t>
  </si>
  <si>
    <t>AKTIVE FAHRZEUGE</t>
  </si>
  <si>
    <t>IN WARTUNG</t>
  </si>
  <si>
    <t>KOSTEN GESAMT (BRUTTO)</t>
  </si>
  <si>
    <t>TCO FLOTTE / MONAT</t>
  </si>
  <si>
    <t>ÜBERFÄLLIGE TERMINE</t>
  </si>
  <si>
    <t>BALD FÄLLIG (≤30 T)</t>
  </si>
  <si>
    <t>KOSTEN JE FAHRZEUG Ø</t>
  </si>
  <si>
    <t>TCO FLOTTE / JAHR</t>
  </si>
  <si>
    <t>Kostenverteilung nach Kostenart</t>
  </si>
  <si>
    <t>Nächste anstehende Termine</t>
  </si>
  <si>
    <t>Kostenart</t>
  </si>
  <si>
    <t>Summe Brutto</t>
  </si>
  <si>
    <t>Kennzeichen</t>
  </si>
  <si>
    <t>Terminart</t>
  </si>
  <si>
    <t>Tage</t>
  </si>
  <si>
    <t>Dieses Dashboard ist schreibgeschützt gedacht: Bitte Werte ausschließlich in den Blättern „Fahrzeuge“, „Betriebskosten“ und „Termine“ pflegen. Beispielhafte, frei erfundene Daten.</t>
  </si>
  <si>
    <t>FAHRZEUGE  ·  Stammdaten</t>
  </si>
  <si>
    <t>Eine Zeile pro Fahrzeug. Das Kennzeichen ist der eindeutige Schlüssel für Kosten, Termine und Auswertung.</t>
  </si>
  <si>
    <t>FIN (Fahrgestellnr.)</t>
  </si>
  <si>
    <t>Marke</t>
  </si>
  <si>
    <t>Modell</t>
  </si>
  <si>
    <t>Kraftstoff</t>
  </si>
  <si>
    <t>Nutzungsart</t>
  </si>
  <si>
    <t>Erstzulassung</t>
  </si>
  <si>
    <t>Besitzform</t>
  </si>
  <si>
    <t>Vertragsende</t>
  </si>
  <si>
    <t>Fahrer / Halter</t>
  </si>
  <si>
    <t>Abteilung</t>
  </si>
  <si>
    <t>Standort</t>
  </si>
  <si>
    <t>Anschaffungswert</t>
  </si>
  <si>
    <t>Restwert</t>
  </si>
  <si>
    <t>Rate/Monat</t>
  </si>
  <si>
    <t>km-Stand</t>
  </si>
  <si>
    <t>Status</t>
  </si>
  <si>
    <t>M-AB 1201</t>
  </si>
  <si>
    <t>WVGZZZ1KZPW000101</t>
  </si>
  <si>
    <t>VW</t>
  </si>
  <si>
    <t>Passat Variant</t>
  </si>
  <si>
    <t>Diesel</t>
  </si>
  <si>
    <t>Firmenwagen</t>
  </si>
  <si>
    <t>Leasing</t>
  </si>
  <si>
    <t>Berger, Julia</t>
  </si>
  <si>
    <t>Vertrieb</t>
  </si>
  <si>
    <t>München</t>
  </si>
  <si>
    <t>Aktiv</t>
  </si>
  <si>
    <t>M-AB 1202</t>
  </si>
  <si>
    <t>WDD2050011A000202</t>
  </si>
  <si>
    <t>Mercedes-Benz</t>
  </si>
  <si>
    <t>C 220 d</t>
  </si>
  <si>
    <t>Krämer, Tobias</t>
  </si>
  <si>
    <t>Geschäftsleitung</t>
  </si>
  <si>
    <t>M-AB 1203</t>
  </si>
  <si>
    <t>WAUZZZF20PA000303</t>
  </si>
  <si>
    <t>Audi</t>
  </si>
  <si>
    <t>A4 Avant</t>
  </si>
  <si>
    <t>Hybrid (Benzin)</t>
  </si>
  <si>
    <t>Finanzierung</t>
  </si>
  <si>
    <t>Sanchez, Elena</t>
  </si>
  <si>
    <t>Marketing</t>
  </si>
  <si>
    <t>K-CD 4410</t>
  </si>
  <si>
    <t>W1V4476331P000404</t>
  </si>
  <si>
    <t>Sprinter 317</t>
  </si>
  <si>
    <t>Transporter</t>
  </si>
  <si>
    <t>Kauf</t>
  </si>
  <si>
    <t>Novak, Lukas</t>
  </si>
  <si>
    <t>Logistik</t>
  </si>
  <si>
    <t>Köln</t>
  </si>
  <si>
    <t>K-CD 4411</t>
  </si>
  <si>
    <t>WV1ZZZ7HZMH000505</t>
  </si>
  <si>
    <t>Transporter T6.1</t>
  </si>
  <si>
    <t>Servicefahrzeug</t>
  </si>
  <si>
    <t>Wagner, Petra</t>
  </si>
  <si>
    <t>Service</t>
  </si>
  <si>
    <t>In Wartung</t>
  </si>
  <si>
    <t>K-CD 4412</t>
  </si>
  <si>
    <t>VF1FB000X66000606</t>
  </si>
  <si>
    <t>Renault</t>
  </si>
  <si>
    <t>Kangoo E-Tech</t>
  </si>
  <si>
    <t>Elektro</t>
  </si>
  <si>
    <t>Böhm, Daniel</t>
  </si>
  <si>
    <t>HH-EF 7788</t>
  </si>
  <si>
    <t>W0L0XCF6841000707</t>
  </si>
  <si>
    <t>Opel</t>
  </si>
  <si>
    <t>Astra Sports Tourer</t>
  </si>
  <si>
    <t>Benzin</t>
  </si>
  <si>
    <t>Poolfahrzeug</t>
  </si>
  <si>
    <t>Allgemein</t>
  </si>
  <si>
    <t>Hamburg</t>
  </si>
  <si>
    <t>HH-EF 7789</t>
  </si>
  <si>
    <t>ZFA26300007000808</t>
  </si>
  <si>
    <t>Fiat</t>
  </si>
  <si>
    <t>Ducato L2H2</t>
  </si>
  <si>
    <t>Fahrgemeinschaft</t>
  </si>
  <si>
    <t>Stillgelegt</t>
  </si>
  <si>
    <t>B-GH 2255</t>
  </si>
  <si>
    <t>WBA5V11020F000909</t>
  </si>
  <si>
    <t>BMW</t>
  </si>
  <si>
    <t>320d Touring</t>
  </si>
  <si>
    <t>Ferreira, Marco</t>
  </si>
  <si>
    <t>Berlin</t>
  </si>
  <si>
    <t>B-GH 2256</t>
  </si>
  <si>
    <t>XP7YGCEK5PB001010</t>
  </si>
  <si>
    <t>Tesla</t>
  </si>
  <si>
    <t>Model 3</t>
  </si>
  <si>
    <t>Lindqvist, Nora</t>
  </si>
  <si>
    <t>BETRIEBSKOSTEN  ·  Bewegungsdaten</t>
  </si>
  <si>
    <t>Jede Ausgabe eine Zeile. MwSt-Betrag und Brutto berechnen sich automatisch. Kennzeichen und Kostenart per Dropdown wählen.</t>
  </si>
  <si>
    <t>Datum</t>
  </si>
  <si>
    <t>Beschreibung</t>
  </si>
  <si>
    <t>Netto (€)</t>
  </si>
  <si>
    <t>MwSt-Satz</t>
  </si>
  <si>
    <t>MwSt (€)</t>
  </si>
  <si>
    <t>Brutto (€)</t>
  </si>
  <si>
    <t>Belegnr.</t>
  </si>
  <si>
    <t>Diesel Tankstelle A1</t>
  </si>
  <si>
    <t>BK-2026-0001</t>
  </si>
  <si>
    <t>Diesel Autohof</t>
  </si>
  <si>
    <t>BK-2026-0002</t>
  </si>
  <si>
    <t>Wartung</t>
  </si>
  <si>
    <t>Inspektion 140.000 km</t>
  </si>
  <si>
    <t>BK-2026-0003</t>
  </si>
  <si>
    <t>Ladestrom Schnelllader</t>
  </si>
  <si>
    <t>BK-2026-0004</t>
  </si>
  <si>
    <t>Super E10</t>
  </si>
  <si>
    <t>BK-2026-0005</t>
  </si>
  <si>
    <t>Reparatur</t>
  </si>
  <si>
    <t>Kupplung erneuern</t>
  </si>
  <si>
    <t>BK-2026-0006</t>
  </si>
  <si>
    <t>Versicherung</t>
  </si>
  <si>
    <t>Haftpflicht+Kasko Q1</t>
  </si>
  <si>
    <t>BK-2026-0007</t>
  </si>
  <si>
    <t>Kfz-Steuer</t>
  </si>
  <si>
    <t>Jahressteuer 2026</t>
  </si>
  <si>
    <t>BK-2026-0008</t>
  </si>
  <si>
    <t>Reifen</t>
  </si>
  <si>
    <t>Winterkompletträder</t>
  </si>
  <si>
    <t>BK-2026-0009</t>
  </si>
  <si>
    <t>Leasingrate</t>
  </si>
  <si>
    <t>Monatsrate Februar</t>
  </si>
  <si>
    <t>BK-2026-0010</t>
  </si>
  <si>
    <t>Ölwechsel + Filter</t>
  </si>
  <si>
    <t>BK-2026-0011</t>
  </si>
  <si>
    <t>Ladestrom Wallbox</t>
  </si>
  <si>
    <t>BK-2026-0012</t>
  </si>
  <si>
    <t>Diesel Flottenkarte</t>
  </si>
  <si>
    <t>BK-2026-0013</t>
  </si>
  <si>
    <t>Maut/Parken</t>
  </si>
  <si>
    <t>Parkhaus Innenstadt</t>
  </si>
  <si>
    <t>BK-2026-0014</t>
  </si>
  <si>
    <t>Diesel Tankstelle B2</t>
  </si>
  <si>
    <t>BK-2026-0015</t>
  </si>
  <si>
    <t>BK-2026-0016</t>
  </si>
  <si>
    <t>Reifenwechsel Sommer</t>
  </si>
  <si>
    <t>BK-2026-0017</t>
  </si>
  <si>
    <t>BK-2026-0018</t>
  </si>
  <si>
    <t>BK-2026-0019</t>
  </si>
  <si>
    <t>Software-Update + Check</t>
  </si>
  <si>
    <t>BK-2026-0020</t>
  </si>
  <si>
    <t>BK-2026-0021</t>
  </si>
  <si>
    <t>Bremsen hinten</t>
  </si>
  <si>
    <t>BK-2026-0022</t>
  </si>
  <si>
    <t>Autobahn-Vignette AT</t>
  </si>
  <si>
    <t>BK-2026-0023</t>
  </si>
  <si>
    <t>BK-2026-0024</t>
  </si>
  <si>
    <t>Super Plus</t>
  </si>
  <si>
    <t>BK-2026-0025</t>
  </si>
  <si>
    <t>Summe</t>
  </si>
  <si>
    <t>TERMINE  ·  Fristen &amp; Fälligkeiten</t>
  </si>
  <si>
    <t>„Tage bis fällig“ und die Ampel berechnen sich automatisch aus dem heutigen Datum. Rot = überfällig/heute · Gelb = ≤ 30 Tage · Grün = später.</t>
  </si>
  <si>
    <t>Fälligkeitsdatum</t>
  </si>
  <si>
    <t>Tage bis fällig</t>
  </si>
  <si>
    <t>Ampel</t>
  </si>
  <si>
    <t>Letzte Durchführung</t>
  </si>
  <si>
    <t>Intervall / Anmerkung</t>
  </si>
  <si>
    <t>Sortierschlüssel (intern)</t>
  </si>
  <si>
    <t>Hauptuntersuchung (HU)</t>
  </si>
  <si>
    <t>Alle 24 Monate</t>
  </si>
  <si>
    <t>Leasingende</t>
  </si>
  <si>
    <t>Rückgabe organisieren</t>
  </si>
  <si>
    <t>Inspektion</t>
  </si>
  <si>
    <t>Jährlich</t>
  </si>
  <si>
    <t>UVV-Prüfung</t>
  </si>
  <si>
    <t>Jährlich – überfällig!</t>
  </si>
  <si>
    <t>Anschlussvertrag prüfen</t>
  </si>
  <si>
    <t>Führerscheinkontrolle</t>
  </si>
  <si>
    <t>Halbjährlich</t>
  </si>
  <si>
    <t>Reifenwechsel</t>
  </si>
  <si>
    <t>Saisonal (Okt/Apr)</t>
  </si>
  <si>
    <t>Versicherung fällig</t>
  </si>
  <si>
    <t>Quartalsweise</t>
  </si>
  <si>
    <t>AUSWERTUNG  ·  Kosten &amp; TCO</t>
  </si>
  <si>
    <t>Alle Werte berechnen sich automatisch aus den Blättern „Fahrzeuge“, „Betriebskosten“ und „Termine“.</t>
  </si>
  <si>
    <t>Kosten pro Fahrzeug (Brutto, gesamter Zeitraum)</t>
  </si>
  <si>
    <t>Fahrzeug</t>
  </si>
  <si>
    <t>Anzahl Vorgänge</t>
  </si>
  <si>
    <t>Ø je Vorgang</t>
  </si>
  <si>
    <t>Anteil</t>
  </si>
  <si>
    <t>GESAMT</t>
  </si>
  <si>
    <t>Kosten nach Kostenart (Brutto)</t>
  </si>
  <si>
    <t>Sonstiges</t>
  </si>
  <si>
    <t>TCO-Schätzung – Total Cost of Ownership (monatlich, aktive Fahrzeuge)</t>
  </si>
  <si>
    <t>Formel je Fahrzeug:  Wertverlust/Monat = (Anschaffungswert − Restwert) ÷ Haltedauer.  Dazu Leasing-/Finanzierungsrate und anteilige Betriebskosten.</t>
  </si>
  <si>
    <t>Wertverlust/Mon.</t>
  </si>
  <si>
    <t>Betriebsk./Mon.</t>
  </si>
  <si>
    <t>TCO/Monat</t>
  </si>
  <si>
    <t>TCO/Jahr</t>
  </si>
  <si>
    <t>FLOTTE GESAMT</t>
  </si>
  <si>
    <t>Annahmen: Ø-Betriebskosten aus dem erfassten Zeitraum hochgerechnet; Haltedauer aus Erstzulassung bis Vertragsende (sonst 48 Monate angenommen). Werte dienen der Orientierung.</t>
  </si>
  <si>
    <t>Hilfsdaten für Dropdown-Listen – nicht löschen</t>
  </si>
  <si>
    <t>MwStSatz</t>
  </si>
  <si>
    <t>Verkauft</t>
  </si>
  <si>
    <t>Miete</t>
  </si>
  <si>
    <t>Hybrid (Diesel)</t>
  </si>
  <si>
    <t>LKW</t>
  </si>
  <si>
    <t>LPG/Autogas</t>
  </si>
  <si>
    <t>FUHRPARKVERWALTUNG-DASHBOARD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</si>
</sst>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quot; €&quot;;[Red]\-#,##0&quot; €&quot;"/>
    <numFmt numFmtId="165" formatCode="0&quot; T&quot;"/>
    <numFmt numFmtId="166" formatCode="dd\.mm\.yyyy"/>
    <numFmt numFmtId="167" formatCode="#,##0&quot; km&quot;"/>
    <numFmt numFmtId="168" formatCode="#,##0.00&quot; €&quot;;[Red]\-#,##0.00&quot; €&quot;"/>
    <numFmt numFmtId="169" formatCode="0.0%"/>
  </numFmts>
  <fonts count="25" x14ac:knownFonts="1">
    <font>
      <sz val="11"/>
      <color theme="1"/>
      <name val="Calibri"/>
      <family val="2"/>
      <charset val="1"/>
    </font>
    <font>
      <b/>
      <sz val="26"/>
      <color rgb="FFFFFFFF"/>
      <name val="Calibri"/>
      <charset val="1"/>
    </font>
    <font>
      <sz val="11"/>
      <color rgb="FFFFFFFF"/>
      <name val="Calibri"/>
      <charset val="1"/>
    </font>
    <font>
      <b/>
      <sz val="14"/>
      <color rgb="FF0F3B44"/>
      <name val="Calibri"/>
      <charset val="1"/>
    </font>
    <font>
      <sz val="11"/>
      <color rgb="FF333333"/>
      <name val="Calibri"/>
      <charset val="1"/>
    </font>
    <font>
      <b/>
      <sz val="11"/>
      <color rgb="FFFFFFFF"/>
      <name val="Calibri"/>
      <charset val="1"/>
    </font>
    <font>
      <b/>
      <sz val="11"/>
      <color rgb="FF0F3B44"/>
      <name val="Calibri"/>
      <charset val="1"/>
    </font>
    <font>
      <b/>
      <sz val="11"/>
      <color rgb="FF000000"/>
      <name val="Calibri"/>
      <charset val="1"/>
    </font>
    <font>
      <b/>
      <i/>
      <sz val="10"/>
      <color rgb="FF5A6B70"/>
      <name val="Calibri"/>
      <charset val="1"/>
    </font>
    <font>
      <b/>
      <sz val="22"/>
      <color rgb="FFFFFFFF"/>
      <name val="Calibri"/>
      <charset val="1"/>
    </font>
    <font>
      <b/>
      <sz val="10"/>
      <color rgb="FFFFFFFF"/>
      <name val="Calibri"/>
      <charset val="1"/>
    </font>
    <font>
      <b/>
      <sz val="10"/>
      <color rgb="FF000000"/>
      <name val="Calibri"/>
      <charset val="1"/>
    </font>
    <font>
      <b/>
      <sz val="20"/>
      <color rgb="FFFFFFFF"/>
      <name val="Calibri"/>
      <charset val="1"/>
    </font>
    <font>
      <b/>
      <sz val="20"/>
      <color rgb="FF000000"/>
      <name val="Calibri"/>
      <charset val="1"/>
    </font>
    <font>
      <b/>
      <sz val="13"/>
      <color rgb="FF0F3B44"/>
      <name val="Calibri"/>
      <charset val="1"/>
    </font>
    <font>
      <sz val="10"/>
      <color rgb="FF000000"/>
      <name val="Calibri"/>
      <charset val="1"/>
    </font>
    <font>
      <b/>
      <sz val="10"/>
      <color rgb="FF0F3B44"/>
      <name val="Calibri"/>
      <charset val="1"/>
    </font>
    <font>
      <i/>
      <sz val="9"/>
      <color rgb="FF5A6B70"/>
      <name val="Calibri"/>
      <charset val="1"/>
    </font>
    <font>
      <b/>
      <sz val="16"/>
      <color rgb="FFFFFFFF"/>
      <name val="Calibri"/>
      <charset val="1"/>
    </font>
    <font>
      <i/>
      <sz val="10"/>
      <color rgb="FF5A6B70"/>
      <name val="Calibri"/>
      <charset val="1"/>
    </font>
    <font>
      <b/>
      <sz val="10"/>
      <color rgb="FF0033CC"/>
      <name val="Calibri"/>
      <charset val="1"/>
    </font>
    <font>
      <sz val="10"/>
      <color rgb="FF0033CC"/>
      <name val="Calibri"/>
      <charset val="1"/>
    </font>
    <font>
      <i/>
      <sz val="8"/>
      <color rgb="FF5A6B70"/>
      <name val="Calibri"/>
      <charset val="1"/>
    </font>
    <font>
      <sz val="8"/>
      <color rgb="FF5A6B70"/>
      <name val="Calibri"/>
      <charset val="1"/>
    </font>
    <font>
      <b/>
      <sz val="9"/>
      <color rgb="FF5A6B70"/>
      <name val="Calibri"/>
      <charset val="1"/>
    </font>
  </fonts>
  <fills count="15">
    <fill>
      <patternFill patternType="none"/>
    </fill>
    <fill>
      <patternFill patternType="gray125"/>
    </fill>
    <fill>
      <patternFill patternType="solid">
        <fgColor rgb="FF0F3B44"/>
        <bgColor rgb="FF333333"/>
      </patternFill>
    </fill>
    <fill>
      <patternFill patternType="solid">
        <fgColor rgb="FF16697A"/>
        <bgColor rgb="FF008080"/>
      </patternFill>
    </fill>
    <fill>
      <patternFill patternType="solid">
        <fgColor rgb="FFEDF6F9"/>
        <bgColor rgb="FFF4FAFB"/>
      </patternFill>
    </fill>
    <fill>
      <patternFill patternType="solid">
        <fgColor rgb="FFFFFFFF"/>
        <bgColor rgb="FFF4FAFB"/>
      </patternFill>
    </fill>
    <fill>
      <patternFill patternType="solid">
        <fgColor rgb="FF0033CC"/>
        <bgColor rgb="FF0066CC"/>
      </patternFill>
    </fill>
    <fill>
      <patternFill patternType="solid">
        <fgColor rgb="FFD6EFD8"/>
        <bgColor rgb="FFCDE9CF"/>
      </patternFill>
    </fill>
    <fill>
      <patternFill patternType="solid">
        <fgColor rgb="FF2E933C"/>
        <bgColor rgb="FF008000"/>
      </patternFill>
    </fill>
    <fill>
      <patternFill patternType="solid">
        <fgColor rgb="FFE8A700"/>
        <bgColor rgb="FFFFA62B"/>
      </patternFill>
    </fill>
    <fill>
      <patternFill patternType="solid">
        <fgColor rgb="FFDB5461"/>
        <bgColor rgb="FFFF8080"/>
      </patternFill>
    </fill>
    <fill>
      <patternFill patternType="solid">
        <fgColor rgb="FF489FB5"/>
        <bgColor rgb="FF808080"/>
      </patternFill>
    </fill>
    <fill>
      <patternFill patternType="solid">
        <fgColor rgb="FFFFA62B"/>
        <bgColor rgb="FFE8A700"/>
      </patternFill>
    </fill>
    <fill>
      <patternFill patternType="solid">
        <fgColor rgb="FFF4FAFB"/>
        <bgColor rgb="FFEDF6F9"/>
      </patternFill>
    </fill>
    <fill>
      <patternFill patternType="solid">
        <fgColor rgb="FFCDE9CF"/>
        <bgColor rgb="FFD6EFD8"/>
      </patternFill>
    </fill>
  </fills>
  <borders count="3">
    <border>
      <left/>
      <right/>
      <top/>
      <bottom/>
      <diagonal/>
    </border>
    <border>
      <left style="thin">
        <color rgb="FFD0DEE2"/>
      </left>
      <right style="thin">
        <color rgb="FFD0DEE2"/>
      </right>
      <top style="thin">
        <color rgb="FFD0DEE2"/>
      </top>
      <bottom style="thin">
        <color rgb="FFD0DEE2"/>
      </bottom>
      <diagonal/>
    </border>
    <border>
      <left style="thin">
        <color rgb="FFD0DEE2"/>
      </left>
      <right/>
      <top style="thin">
        <color rgb="FFD0DEE2"/>
      </top>
      <bottom style="thin">
        <color rgb="FFD0DEE2"/>
      </bottom>
      <diagonal/>
    </border>
  </borders>
  <cellStyleXfs count="1">
    <xf numFmtId="0" fontId="0" fillId="0" borderId="0"/>
  </cellStyleXfs>
  <cellXfs count="103">
    <xf numFmtId="0" fontId="0" fillId="0" borderId="0" xfId="0"/>
    <xf numFmtId="164" fontId="12" fillId="11" borderId="0" xfId="0" applyNumberFormat="1" applyFont="1" applyFill="1" applyAlignment="1">
      <alignment horizontal="left" vertical="center" indent="1"/>
    </xf>
    <xf numFmtId="164" fontId="12" fillId="3" borderId="0" xfId="0" applyNumberFormat="1" applyFont="1" applyFill="1" applyAlignment="1">
      <alignment horizontal="left" vertical="center" indent="1"/>
    </xf>
    <xf numFmtId="0" fontId="10" fillId="10" borderId="0" xfId="0" applyFont="1" applyFill="1" applyAlignment="1">
      <alignment horizontal="left" vertical="center" indent="1"/>
    </xf>
    <xf numFmtId="0" fontId="0" fillId="12" borderId="0" xfId="0" applyFill="1"/>
    <xf numFmtId="0" fontId="0" fillId="11" borderId="0" xfId="0" applyFill="1"/>
    <xf numFmtId="0" fontId="0" fillId="3" borderId="0" xfId="0" applyFill="1"/>
    <xf numFmtId="3" fontId="13" fillId="12" borderId="0" xfId="0" applyNumberFormat="1" applyFont="1" applyFill="1" applyAlignment="1">
      <alignment horizontal="left" vertical="center" indent="1"/>
    </xf>
    <xf numFmtId="3" fontId="12" fillId="11" borderId="0" xfId="0" applyNumberFormat="1" applyFont="1" applyFill="1" applyAlignment="1">
      <alignment horizontal="left" vertical="center" indent="1"/>
    </xf>
    <xf numFmtId="3" fontId="12" fillId="3" borderId="0" xfId="0" applyNumberFormat="1" applyFont="1" applyFill="1" applyAlignment="1">
      <alignment horizontal="left" vertical="center" indent="1"/>
    </xf>
    <xf numFmtId="0" fontId="11" fillId="12" borderId="0" xfId="0" applyFont="1" applyFill="1" applyAlignment="1">
      <alignment horizontal="left" vertical="center" indent="1"/>
    </xf>
    <xf numFmtId="0" fontId="10" fillId="11" borderId="0" xfId="0" applyFont="1" applyFill="1" applyAlignment="1">
      <alignment horizontal="left" vertical="center" indent="1"/>
    </xf>
    <xf numFmtId="0" fontId="10" fillId="3" borderId="0" xfId="0" applyFont="1" applyFill="1" applyAlignment="1">
      <alignment horizontal="left" vertical="center" indent="1"/>
    </xf>
    <xf numFmtId="0" fontId="2" fillId="3" borderId="0" xfId="0" applyFont="1" applyFill="1" applyAlignment="1">
      <alignment horizontal="left" vertical="center" indent="1"/>
    </xf>
    <xf numFmtId="0" fontId="9" fillId="2" borderId="0" xfId="0" applyFont="1" applyFill="1" applyAlignment="1">
      <alignment horizontal="left" vertical="center" indent="1"/>
    </xf>
    <xf numFmtId="0" fontId="5" fillId="3" borderId="1" xfId="0" applyFont="1" applyFill="1" applyBorder="1" applyAlignment="1">
      <alignment horizontal="left" vertical="center" wrapText="1"/>
    </xf>
    <xf numFmtId="0" fontId="6" fillId="4" borderId="1" xfId="0" applyFont="1" applyFill="1" applyBorder="1" applyAlignment="1">
      <alignment horizontal="left" vertical="center" wrapText="1"/>
    </xf>
    <xf numFmtId="0" fontId="4" fillId="4" borderId="1" xfId="0" applyFont="1" applyFill="1" applyBorder="1" applyAlignment="1">
      <alignment horizontal="left" vertical="top" wrapText="1"/>
    </xf>
    <xf numFmtId="0" fontId="6" fillId="5" borderId="1" xfId="0" applyFont="1" applyFill="1" applyBorder="1" applyAlignment="1">
      <alignment horizontal="left" vertical="center" wrapText="1"/>
    </xf>
    <xf numFmtId="0" fontId="4" fillId="5" borderId="1" xfId="0" applyFont="1" applyFill="1" applyBorder="1" applyAlignment="1">
      <alignment horizontal="left" vertical="top" wrapText="1"/>
    </xf>
    <xf numFmtId="0" fontId="5" fillId="6"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7" fillId="7"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5" fillId="0" borderId="1" xfId="0" applyFont="1" applyBorder="1" applyAlignment="1">
      <alignment horizontal="left" vertical="center" wrapText="1"/>
    </xf>
    <xf numFmtId="164" fontId="15" fillId="0" borderId="1" xfId="0" applyNumberFormat="1" applyFont="1" applyBorder="1" applyAlignment="1">
      <alignment horizontal="right" vertical="center"/>
    </xf>
    <xf numFmtId="0" fontId="16" fillId="0" borderId="1" xfId="0" applyFont="1" applyBorder="1" applyAlignment="1">
      <alignment horizontal="left" vertical="center" wrapText="1"/>
    </xf>
    <xf numFmtId="165" fontId="15" fillId="0" borderId="1" xfId="0" applyNumberFormat="1" applyFont="1" applyBorder="1" applyAlignment="1">
      <alignment horizontal="center" vertical="center" wrapText="1"/>
    </xf>
    <xf numFmtId="0" fontId="15" fillId="13" borderId="1" xfId="0" applyFont="1" applyFill="1" applyBorder="1" applyAlignment="1">
      <alignment horizontal="left" vertical="center" wrapText="1"/>
    </xf>
    <xf numFmtId="164" fontId="15" fillId="13" borderId="1" xfId="0" applyNumberFormat="1" applyFont="1" applyFill="1" applyBorder="1" applyAlignment="1">
      <alignment horizontal="right" vertical="center"/>
    </xf>
    <xf numFmtId="0" fontId="16" fillId="13" borderId="1" xfId="0" applyFont="1" applyFill="1" applyBorder="1" applyAlignment="1">
      <alignment horizontal="left" vertical="center" wrapText="1"/>
    </xf>
    <xf numFmtId="165" fontId="15" fillId="13"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0" fontId="20" fillId="0" borderId="1" xfId="0" applyFont="1" applyBorder="1" applyAlignment="1">
      <alignment horizontal="left" vertical="center" wrapText="1"/>
    </xf>
    <xf numFmtId="0" fontId="21" fillId="0" borderId="1" xfId="0" applyFont="1" applyBorder="1" applyAlignment="1">
      <alignment horizontal="left" vertical="center" wrapText="1"/>
    </xf>
    <xf numFmtId="0" fontId="21" fillId="0" borderId="1" xfId="0" applyFont="1" applyBorder="1" applyAlignment="1">
      <alignment horizontal="center" vertical="center" wrapText="1"/>
    </xf>
    <xf numFmtId="166" fontId="21" fillId="0" borderId="1" xfId="0" applyNumberFormat="1" applyFont="1" applyBorder="1" applyAlignment="1">
      <alignment horizontal="center" vertical="center" wrapText="1"/>
    </xf>
    <xf numFmtId="164" fontId="21" fillId="0" borderId="1" xfId="0" applyNumberFormat="1" applyFont="1" applyBorder="1" applyAlignment="1">
      <alignment horizontal="right" vertical="center"/>
    </xf>
    <xf numFmtId="167" fontId="21" fillId="0" borderId="1" xfId="0" applyNumberFormat="1" applyFont="1" applyBorder="1" applyAlignment="1">
      <alignment horizontal="right" vertical="center"/>
    </xf>
    <xf numFmtId="0" fontId="20" fillId="13" borderId="1" xfId="0" applyFont="1" applyFill="1" applyBorder="1" applyAlignment="1">
      <alignment horizontal="left" vertical="center" wrapText="1"/>
    </xf>
    <xf numFmtId="0" fontId="21" fillId="13" borderId="1" xfId="0" applyFont="1" applyFill="1" applyBorder="1" applyAlignment="1">
      <alignment horizontal="left" vertical="center" wrapText="1"/>
    </xf>
    <xf numFmtId="0" fontId="21" fillId="13" borderId="1" xfId="0" applyFont="1" applyFill="1" applyBorder="1" applyAlignment="1">
      <alignment horizontal="center" vertical="center" wrapText="1"/>
    </xf>
    <xf numFmtId="166" fontId="21" fillId="13" borderId="1" xfId="0" applyNumberFormat="1" applyFont="1" applyFill="1" applyBorder="1" applyAlignment="1">
      <alignment horizontal="center" vertical="center" wrapText="1"/>
    </xf>
    <xf numFmtId="164" fontId="21" fillId="13" borderId="1" xfId="0" applyNumberFormat="1" applyFont="1" applyFill="1" applyBorder="1" applyAlignment="1">
      <alignment horizontal="right" vertical="center"/>
    </xf>
    <xf numFmtId="167" fontId="21" fillId="13" borderId="1" xfId="0" applyNumberFormat="1" applyFont="1" applyFill="1" applyBorder="1" applyAlignment="1">
      <alignment horizontal="right" vertical="center"/>
    </xf>
    <xf numFmtId="0" fontId="21" fillId="0" borderId="1" xfId="0" applyFont="1" applyBorder="1"/>
    <xf numFmtId="0" fontId="21" fillId="13" borderId="1" xfId="0" applyFont="1" applyFill="1" applyBorder="1"/>
    <xf numFmtId="168" fontId="21" fillId="0" borderId="1" xfId="0" applyNumberFormat="1" applyFont="1" applyBorder="1" applyAlignment="1">
      <alignment horizontal="right" vertical="center"/>
    </xf>
    <xf numFmtId="169" fontId="21" fillId="0" borderId="1" xfId="0" applyNumberFormat="1" applyFont="1" applyBorder="1" applyAlignment="1">
      <alignment horizontal="center" vertical="center" wrapText="1"/>
    </xf>
    <xf numFmtId="168" fontId="15" fillId="7" borderId="1" xfId="0" applyNumberFormat="1" applyFont="1" applyFill="1" applyBorder="1" applyAlignment="1">
      <alignment horizontal="right" vertical="center"/>
    </xf>
    <xf numFmtId="168" fontId="21" fillId="13" borderId="1" xfId="0" applyNumberFormat="1" applyFont="1" applyFill="1" applyBorder="1" applyAlignment="1">
      <alignment horizontal="right" vertical="center"/>
    </xf>
    <xf numFmtId="169" fontId="21" fillId="13" borderId="1" xfId="0" applyNumberFormat="1" applyFont="1" applyFill="1" applyBorder="1" applyAlignment="1">
      <alignment horizontal="center" vertical="center" wrapText="1"/>
    </xf>
    <xf numFmtId="168" fontId="15" fillId="14" borderId="1" xfId="0" applyNumberFormat="1" applyFont="1" applyFill="1" applyBorder="1" applyAlignment="1">
      <alignment horizontal="right" vertical="center"/>
    </xf>
    <xf numFmtId="0" fontId="0" fillId="3" borderId="1" xfId="0" applyFill="1" applyBorder="1"/>
    <xf numFmtId="0" fontId="5" fillId="3" borderId="1" xfId="0" applyFont="1" applyFill="1" applyBorder="1" applyAlignment="1">
      <alignment horizontal="right" vertical="center"/>
    </xf>
    <xf numFmtId="168" fontId="5" fillId="3" borderId="1" xfId="0" applyNumberFormat="1" applyFont="1" applyFill="1" applyBorder="1" applyAlignment="1">
      <alignment horizontal="right" vertical="center"/>
    </xf>
    <xf numFmtId="0" fontId="22" fillId="0" borderId="0" xfId="0" applyFont="1"/>
    <xf numFmtId="0" fontId="11" fillId="0" borderId="1" xfId="0" applyFont="1" applyBorder="1" applyAlignment="1">
      <alignment horizontal="center" vertical="center" wrapText="1"/>
    </xf>
    <xf numFmtId="0" fontId="23" fillId="0" borderId="0" xfId="0" applyFont="1"/>
    <xf numFmtId="0" fontId="11" fillId="13"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5" fillId="0" borderId="1" xfId="0" applyFont="1" applyBorder="1" applyAlignment="1">
      <alignment horizontal="center" vertical="center" wrapText="1"/>
    </xf>
    <xf numFmtId="168" fontId="15" fillId="0" borderId="1" xfId="0" applyNumberFormat="1" applyFont="1" applyBorder="1" applyAlignment="1">
      <alignment horizontal="right" vertical="center"/>
    </xf>
    <xf numFmtId="169" fontId="15" fillId="0" borderId="1" xfId="0" applyNumberFormat="1" applyFont="1" applyBorder="1" applyAlignment="1">
      <alignment horizontal="center" vertical="center" wrapText="1"/>
    </xf>
    <xf numFmtId="0" fontId="16" fillId="13" borderId="1" xfId="0" applyFont="1" applyFill="1" applyBorder="1" applyAlignment="1">
      <alignment horizontal="center" vertical="center" wrapText="1"/>
    </xf>
    <xf numFmtId="0" fontId="15" fillId="13" borderId="1" xfId="0" applyFont="1" applyFill="1" applyBorder="1" applyAlignment="1">
      <alignment horizontal="center" vertical="center" wrapText="1"/>
    </xf>
    <xf numFmtId="168" fontId="15" fillId="13" borderId="1" xfId="0" applyNumberFormat="1" applyFont="1" applyFill="1" applyBorder="1" applyAlignment="1">
      <alignment horizontal="right" vertical="center"/>
    </xf>
    <xf numFmtId="169" fontId="15" fillId="13" borderId="1" xfId="0" applyNumberFormat="1" applyFont="1" applyFill="1" applyBorder="1" applyAlignment="1">
      <alignment horizontal="center" vertical="center" wrapText="1"/>
    </xf>
    <xf numFmtId="0" fontId="5" fillId="2" borderId="1" xfId="0" applyFont="1" applyFill="1" applyBorder="1"/>
    <xf numFmtId="0" fontId="0" fillId="2" borderId="1" xfId="0" applyFill="1" applyBorder="1"/>
    <xf numFmtId="168" fontId="5" fillId="2" borderId="1" xfId="0" applyNumberFormat="1" applyFont="1" applyFill="1" applyBorder="1"/>
    <xf numFmtId="169" fontId="0" fillId="0" borderId="1" xfId="0" applyNumberFormat="1" applyBorder="1" applyAlignment="1">
      <alignment horizontal="center" vertical="center" wrapText="1"/>
    </xf>
    <xf numFmtId="169" fontId="0" fillId="13" borderId="1" xfId="0" applyNumberFormat="1" applyFill="1" applyBorder="1" applyAlignment="1">
      <alignment horizontal="center" vertical="center" wrapText="1"/>
    </xf>
    <xf numFmtId="168" fontId="11" fillId="7" borderId="1" xfId="0" applyNumberFormat="1" applyFont="1" applyFill="1" applyBorder="1" applyAlignment="1">
      <alignment horizontal="right" vertical="center"/>
    </xf>
    <xf numFmtId="168" fontId="11" fillId="14" borderId="1" xfId="0" applyNumberFormat="1" applyFont="1" applyFill="1" applyBorder="1" applyAlignment="1">
      <alignment horizontal="right" vertical="center"/>
    </xf>
    <xf numFmtId="164" fontId="5" fillId="2" borderId="1" xfId="0" applyNumberFormat="1" applyFont="1" applyFill="1" applyBorder="1"/>
    <xf numFmtId="0" fontId="24" fillId="0" borderId="0" xfId="0" applyFont="1"/>
    <xf numFmtId="0" fontId="11" fillId="0" borderId="0" xfId="0" applyFont="1"/>
    <xf numFmtId="3" fontId="12" fillId="10" borderId="0" xfId="0" applyNumberFormat="1" applyFont="1" applyFill="1" applyAlignment="1">
      <alignment horizontal="left" vertical="center" indent="1"/>
    </xf>
    <xf numFmtId="0" fontId="0" fillId="10" borderId="0" xfId="0" applyFill="1"/>
    <xf numFmtId="0" fontId="11" fillId="9" borderId="0" xfId="0" applyFont="1" applyFill="1" applyAlignment="1">
      <alignment horizontal="left" vertical="center" indent="1"/>
    </xf>
    <xf numFmtId="3" fontId="13" fillId="9" borderId="0" xfId="0" applyNumberFormat="1" applyFont="1" applyFill="1" applyAlignment="1">
      <alignment horizontal="left" vertical="center" indent="1"/>
    </xf>
    <xf numFmtId="0" fontId="0" fillId="9" borderId="0" xfId="0" applyFill="1"/>
    <xf numFmtId="0" fontId="14" fillId="0" borderId="0" xfId="0" applyFont="1"/>
    <xf numFmtId="0" fontId="10" fillId="3" borderId="2" xfId="0" applyFont="1" applyFill="1" applyBorder="1" applyAlignment="1">
      <alignment horizontal="left" vertical="center" wrapText="1"/>
    </xf>
    <xf numFmtId="164" fontId="15" fillId="0" borderId="1" xfId="0" applyNumberFormat="1" applyFont="1" applyBorder="1" applyAlignment="1">
      <alignment horizontal="right" vertical="center"/>
    </xf>
    <xf numFmtId="164" fontId="15" fillId="13" borderId="1" xfId="0" applyNumberFormat="1" applyFont="1" applyFill="1" applyBorder="1" applyAlignment="1">
      <alignment horizontal="right" vertical="center"/>
    </xf>
    <xf numFmtId="0" fontId="17" fillId="0" borderId="0" xfId="0" applyFont="1" applyAlignment="1">
      <alignment horizontal="left" vertical="top" wrapText="1"/>
    </xf>
    <xf numFmtId="0" fontId="1" fillId="2" borderId="0" xfId="0" applyFont="1" applyFill="1" applyAlignment="1">
      <alignment horizontal="left" vertical="center" indent="1"/>
    </xf>
    <xf numFmtId="0" fontId="3" fillId="0" borderId="0" xfId="0" applyFont="1"/>
    <xf numFmtId="0" fontId="4" fillId="0" borderId="0" xfId="0" applyFont="1" applyAlignment="1">
      <alignment horizontal="left" vertical="top" wrapText="1"/>
    </xf>
    <xf numFmtId="0" fontId="4" fillId="0" borderId="0" xfId="0" applyFont="1" applyAlignment="1">
      <alignment horizontal="left" vertical="center" wrapText="1"/>
    </xf>
    <xf numFmtId="0" fontId="8" fillId="0" borderId="0" xfId="0" applyFont="1" applyAlignment="1">
      <alignment horizontal="left" vertical="top" wrapText="1"/>
    </xf>
    <xf numFmtId="0" fontId="18" fillId="3" borderId="0" xfId="0" applyFont="1" applyFill="1" applyAlignment="1">
      <alignment horizontal="left" vertical="center" indent="1"/>
    </xf>
    <xf numFmtId="0" fontId="19" fillId="0" borderId="0" xfId="0" applyFont="1" applyAlignment="1">
      <alignment horizontal="left" vertical="center" indent="1"/>
    </xf>
    <xf numFmtId="0" fontId="18" fillId="11" borderId="0" xfId="0" applyFont="1" applyFill="1" applyAlignment="1">
      <alignment horizontal="left" vertical="center" indent="1"/>
    </xf>
    <xf numFmtId="0" fontId="18" fillId="10" borderId="0" xfId="0" applyFont="1" applyFill="1" applyAlignment="1">
      <alignment horizontal="left" vertical="center" indent="1"/>
    </xf>
    <xf numFmtId="0" fontId="18" fillId="8" borderId="0" xfId="0" applyFont="1" applyFill="1" applyAlignment="1">
      <alignment horizontal="left" vertical="center" indent="1"/>
    </xf>
    <xf numFmtId="0" fontId="19" fillId="0" borderId="0" xfId="0" applyFont="1" applyAlignment="1">
      <alignment horizontal="left" vertical="center" wrapText="1"/>
    </xf>
  </cellXfs>
  <cellStyles count="1">
    <cellStyle name="Standard" xfId="0" builtinId="0"/>
  </cellStyles>
  <dxfs count="12">
    <dxf>
      <font>
        <b/>
        <sz val="10"/>
        <color rgb="FFFFFFFF"/>
        <name val="Calibri"/>
        <charset val="1"/>
      </font>
      <fill>
        <patternFill>
          <bgColor rgb="FF2E933C"/>
        </patternFill>
      </fill>
    </dxf>
    <dxf>
      <font>
        <b/>
        <sz val="10"/>
        <color rgb="FF000000"/>
        <name val="Calibri"/>
        <charset val="1"/>
      </font>
      <fill>
        <patternFill>
          <bgColor rgb="FFE8A700"/>
        </patternFill>
      </fill>
    </dxf>
    <dxf>
      <font>
        <b/>
        <sz val="10"/>
        <color rgb="FFFFFFFF"/>
        <name val="Calibri"/>
        <charset val="1"/>
      </font>
      <fill>
        <patternFill>
          <bgColor rgb="FFDB5461"/>
        </patternFill>
      </fill>
    </dxf>
    <dxf>
      <font>
        <b/>
        <sz val="10"/>
        <color rgb="FF8A6D00"/>
        <name val="Calibri"/>
        <charset val="1"/>
      </font>
      <fill>
        <patternFill>
          <bgColor rgb="FFFFF3CD"/>
        </patternFill>
      </fill>
    </dxf>
    <dxf>
      <font>
        <b/>
        <sz val="10"/>
        <color rgb="FFDB5461"/>
        <name val="Calibri"/>
        <charset val="1"/>
      </font>
      <fill>
        <patternFill>
          <bgColor rgb="FFF8D7DA"/>
        </patternFill>
      </fill>
    </dxf>
    <dxf>
      <font>
        <b/>
        <sz val="10"/>
        <color rgb="FFDB5461"/>
        <name val="Calibri"/>
        <charset val="1"/>
      </font>
      <fill>
        <patternFill>
          <bgColor rgb="FFF8D7DA"/>
        </patternFill>
      </fill>
    </dxf>
    <dxf>
      <font>
        <b/>
        <sz val="10"/>
        <color rgb="FF5A6B70"/>
        <name val="Calibri"/>
        <charset val="1"/>
      </font>
      <fill>
        <patternFill>
          <bgColor rgb="FFE9ECEF"/>
        </patternFill>
      </fill>
    </dxf>
    <dxf>
      <font>
        <b/>
        <sz val="10"/>
        <color rgb="FF8A6D00"/>
        <name val="Calibri"/>
        <charset val="1"/>
      </font>
      <fill>
        <patternFill>
          <bgColor rgb="FFFFF3CD"/>
        </patternFill>
      </fill>
    </dxf>
    <dxf>
      <font>
        <b/>
        <sz val="10"/>
        <color rgb="FF2E933C"/>
        <name val="Calibri"/>
        <charset val="1"/>
      </font>
      <fill>
        <patternFill>
          <bgColor rgb="FFD6EFD8"/>
        </patternFill>
      </fill>
    </dxf>
    <dxf>
      <font>
        <b/>
        <sz val="10"/>
        <color rgb="FF2E933C"/>
        <name val="Calibri"/>
        <charset val="1"/>
      </font>
      <fill>
        <patternFill>
          <bgColor rgb="FFD6EFD8"/>
        </patternFill>
      </fill>
    </dxf>
    <dxf>
      <font>
        <b/>
        <sz val="10"/>
        <color rgb="FF000000"/>
        <name val="Calibri"/>
        <charset val="1"/>
      </font>
      <fill>
        <patternFill>
          <bgColor rgb="FFE8A700"/>
        </patternFill>
      </fill>
    </dxf>
    <dxf>
      <font>
        <b/>
        <sz val="10"/>
        <color rgb="FFFFFFFF"/>
        <name val="Calibri"/>
        <charset val="1"/>
      </font>
      <fill>
        <patternFill>
          <bgColor rgb="FFDB5461"/>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A6D00"/>
      <rgbColor rgb="FF800080"/>
      <rgbColor rgb="FF16697A"/>
      <rgbColor rgb="FFCDE9CF"/>
      <rgbColor rgb="FF808080"/>
      <rgbColor rgb="FF9999FF"/>
      <rgbColor rgb="FF993366"/>
      <rgbColor rgb="FFFFF3CD"/>
      <rgbColor rgb="FFEDF6F9"/>
      <rgbColor rgb="FF660066"/>
      <rgbColor rgb="FFFF8080"/>
      <rgbColor rgb="FF0066CC"/>
      <rgbColor rgb="FFD0DEE2"/>
      <rgbColor rgb="FF000080"/>
      <rgbColor rgb="FFFF00FF"/>
      <rgbColor rgb="FFFFFF00"/>
      <rgbColor rgb="FF00FFFF"/>
      <rgbColor rgb="FF800080"/>
      <rgbColor rgb="FF800000"/>
      <rgbColor rgb="FF008080"/>
      <rgbColor rgb="FF0000FF"/>
      <rgbColor rgb="FF00CCFF"/>
      <rgbColor rgb="FFE9ECEF"/>
      <rgbColor rgb="FFD6EFD8"/>
      <rgbColor rgb="FFF4FAFB"/>
      <rgbColor rgb="FF99CCFF"/>
      <rgbColor rgb="FFFF99CC"/>
      <rgbColor rgb="FFCC99FF"/>
      <rgbColor rgb="FFF8D7DA"/>
      <rgbColor rgb="FF3366FF"/>
      <rgbColor rgb="FF489FB5"/>
      <rgbColor rgb="FF99CC00"/>
      <rgbColor rgb="FFFFA62B"/>
      <rgbColor rgb="FFE8A700"/>
      <rgbColor rgb="FFDB5461"/>
      <rgbColor rgb="FF5A6B70"/>
      <rgbColor rgb="FFAAAAAA"/>
      <rgbColor rgb="FF0F3B44"/>
      <rgbColor rgb="FF2E933C"/>
      <rgbColor rgb="FF003300"/>
      <rgbColor rgb="FF333300"/>
      <rgbColor rgb="FF993300"/>
      <rgbColor rgb="FF993366"/>
      <rgbColor rgb="FF0033CC"/>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F3B44"/>
    <pageSetUpPr fitToPage="1"/>
  </sheetPr>
  <dimension ref="B2:C32"/>
  <sheetViews>
    <sheetView showGridLines="0" zoomScale="110" zoomScaleNormal="110" workbookViewId="0"/>
  </sheetViews>
  <sheetFormatPr baseColWidth="10" defaultColWidth="8.7109375" defaultRowHeight="15" x14ac:dyDescent="0.25"/>
  <cols>
    <col min="1" max="1" width="2.42578125" customWidth="1"/>
    <col min="2" max="2" width="26" customWidth="1"/>
    <col min="3" max="3" width="78" customWidth="1"/>
    <col min="4" max="4" width="2.42578125" customWidth="1"/>
  </cols>
  <sheetData>
    <row r="2" spans="2:3" ht="45.75" customHeight="1" x14ac:dyDescent="0.25">
      <c r="B2" s="92" t="s">
        <v>0</v>
      </c>
      <c r="C2" s="92"/>
    </row>
    <row r="3" spans="2:3" ht="21.75" customHeight="1" x14ac:dyDescent="0.25">
      <c r="B3" s="13" t="s">
        <v>1</v>
      </c>
      <c r="C3" s="13"/>
    </row>
    <row r="5" spans="2:3" ht="18.75" x14ac:dyDescent="0.3">
      <c r="B5" s="93" t="s">
        <v>2</v>
      </c>
      <c r="C5" s="93"/>
    </row>
    <row r="6" spans="2:3" ht="57.75" customHeight="1" x14ac:dyDescent="0.25">
      <c r="B6" s="94" t="s">
        <v>3</v>
      </c>
      <c r="C6" s="94"/>
    </row>
    <row r="8" spans="2:3" ht="18.75" x14ac:dyDescent="0.3">
      <c r="B8" s="93" t="s">
        <v>4</v>
      </c>
      <c r="C8" s="93"/>
    </row>
    <row r="9" spans="2:3" ht="19.5" customHeight="1" x14ac:dyDescent="0.25">
      <c r="B9" s="15" t="s">
        <v>5</v>
      </c>
      <c r="C9" s="15" t="s">
        <v>6</v>
      </c>
    </row>
    <row r="10" spans="2:3" ht="33.75" customHeight="1" x14ac:dyDescent="0.25">
      <c r="B10" s="16" t="s">
        <v>7</v>
      </c>
      <c r="C10" s="17" t="s">
        <v>8</v>
      </c>
    </row>
    <row r="11" spans="2:3" ht="33.75" customHeight="1" x14ac:dyDescent="0.25">
      <c r="B11" s="18" t="s">
        <v>9</v>
      </c>
      <c r="C11" s="19" t="s">
        <v>10</v>
      </c>
    </row>
    <row r="12" spans="2:3" ht="33.75" customHeight="1" x14ac:dyDescent="0.25">
      <c r="B12" s="16" t="s">
        <v>11</v>
      </c>
      <c r="C12" s="17" t="s">
        <v>12</v>
      </c>
    </row>
    <row r="13" spans="2:3" ht="33.75" customHeight="1" x14ac:dyDescent="0.25">
      <c r="B13" s="18" t="s">
        <v>13</v>
      </c>
      <c r="C13" s="19" t="s">
        <v>14</v>
      </c>
    </row>
    <row r="14" spans="2:3" ht="33.75" customHeight="1" x14ac:dyDescent="0.25">
      <c r="B14" s="16" t="s">
        <v>15</v>
      </c>
      <c r="C14" s="17" t="s">
        <v>16</v>
      </c>
    </row>
    <row r="15" spans="2:3" ht="33.75" customHeight="1" x14ac:dyDescent="0.25">
      <c r="B15" s="18" t="s">
        <v>17</v>
      </c>
      <c r="C15" s="19" t="s">
        <v>18</v>
      </c>
    </row>
    <row r="17" spans="2:3" ht="18.75" x14ac:dyDescent="0.3">
      <c r="B17" s="93" t="s">
        <v>19</v>
      </c>
      <c r="C17" s="93"/>
    </row>
    <row r="19" spans="2:3" ht="21.75" customHeight="1" x14ac:dyDescent="0.25">
      <c r="B19" s="20" t="s">
        <v>20</v>
      </c>
      <c r="C19" s="21" t="s">
        <v>21</v>
      </c>
    </row>
    <row r="20" spans="2:3" ht="21.75" customHeight="1" x14ac:dyDescent="0.25">
      <c r="B20" s="22" t="s">
        <v>20</v>
      </c>
      <c r="C20" s="21" t="s">
        <v>22</v>
      </c>
    </row>
    <row r="21" spans="2:3" ht="21.75" customHeight="1" x14ac:dyDescent="0.25">
      <c r="B21" s="23" t="s">
        <v>20</v>
      </c>
      <c r="C21" s="21" t="s">
        <v>23</v>
      </c>
    </row>
    <row r="22" spans="2:3" ht="21.75" customHeight="1" x14ac:dyDescent="0.25">
      <c r="B22" s="24" t="s">
        <v>20</v>
      </c>
      <c r="C22" s="21" t="s">
        <v>24</v>
      </c>
    </row>
    <row r="23" spans="2:3" ht="21.75" customHeight="1" x14ac:dyDescent="0.25">
      <c r="B23" s="25" t="s">
        <v>20</v>
      </c>
      <c r="C23" s="21" t="s">
        <v>25</v>
      </c>
    </row>
    <row r="25" spans="2:3" ht="18.75" x14ac:dyDescent="0.3">
      <c r="B25" s="93" t="s">
        <v>26</v>
      </c>
      <c r="C25" s="93"/>
    </row>
    <row r="27" spans="2:3" ht="19.5" customHeight="1" x14ac:dyDescent="0.25">
      <c r="B27" s="95" t="s">
        <v>27</v>
      </c>
      <c r="C27" s="95"/>
    </row>
    <row r="28" spans="2:3" ht="19.5" customHeight="1" x14ac:dyDescent="0.25">
      <c r="B28" s="95" t="s">
        <v>28</v>
      </c>
      <c r="C28" s="95"/>
    </row>
    <row r="29" spans="2:3" ht="19.5" customHeight="1" x14ac:dyDescent="0.25">
      <c r="B29" s="95" t="s">
        <v>29</v>
      </c>
      <c r="C29" s="95"/>
    </row>
    <row r="30" spans="2:3" ht="19.5" customHeight="1" x14ac:dyDescent="0.25">
      <c r="B30" s="95" t="s">
        <v>30</v>
      </c>
      <c r="C30" s="95"/>
    </row>
    <row r="32" spans="2:3" ht="39.75" customHeight="1" x14ac:dyDescent="0.25">
      <c r="B32" s="96" t="s">
        <v>31</v>
      </c>
      <c r="C32" s="96"/>
    </row>
  </sheetData>
  <mergeCells count="12">
    <mergeCell ref="B30:C30"/>
    <mergeCell ref="B32:C32"/>
    <mergeCell ref="B17:C17"/>
    <mergeCell ref="B25:C25"/>
    <mergeCell ref="B27:C27"/>
    <mergeCell ref="B28:C28"/>
    <mergeCell ref="B29:C29"/>
    <mergeCell ref="B2:C2"/>
    <mergeCell ref="B3:C3"/>
    <mergeCell ref="B5:C5"/>
    <mergeCell ref="B6:C6"/>
    <mergeCell ref="B8:C8"/>
  </mergeCells>
  <printOptions horizontalCentered="1"/>
  <pageMargins left="0.75" right="0.75" top="1" bottom="1" header="0.511811023622047" footer="0.511811023622047"/>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A62B"/>
    <pageSetUpPr fitToPage="1"/>
  </sheetPr>
  <dimension ref="B2:I30"/>
  <sheetViews>
    <sheetView showGridLines="0" tabSelected="1" zoomScaleNormal="100" workbookViewId="0">
      <selection activeCell="N41" sqref="N41"/>
    </sheetView>
  </sheetViews>
  <sheetFormatPr baseColWidth="10" defaultColWidth="8.7109375" defaultRowHeight="15" x14ac:dyDescent="0.25"/>
  <cols>
    <col min="1" max="1" width="2.42578125" customWidth="1"/>
    <col min="2" max="2" width="19" customWidth="1"/>
    <col min="3" max="3" width="15" customWidth="1"/>
    <col min="4" max="4" width="4" customWidth="1"/>
    <col min="5" max="5" width="19" customWidth="1"/>
    <col min="6" max="6" width="13" customWidth="1"/>
    <col min="7" max="7" width="14" customWidth="1"/>
    <col min="8" max="8" width="23" customWidth="1"/>
    <col min="9" max="9" width="10" customWidth="1"/>
    <col min="10" max="10" width="2.42578125" customWidth="1"/>
  </cols>
  <sheetData>
    <row r="2" spans="2:9" ht="42" customHeight="1" x14ac:dyDescent="0.25">
      <c r="B2" s="14" t="s">
        <v>248</v>
      </c>
      <c r="C2" s="14"/>
      <c r="D2" s="14"/>
      <c r="E2" s="14"/>
      <c r="F2" s="14"/>
      <c r="G2" s="14"/>
      <c r="H2" s="14"/>
      <c r="I2" s="14"/>
    </row>
    <row r="3" spans="2:9" ht="21.75" customHeight="1" x14ac:dyDescent="0.25">
      <c r="B3" s="13" t="str">
        <f ca="1">" Stand: "&amp;TEXT(TODAY(),"DD.MM.YYYY")&amp;"   ·   Geschäftsjahr 2026   ·   Alle Werte automatisch berechnet"</f>
        <v xml:space="preserve"> Stand: 30.09.YYYY   ·   Geschäftsjahr 2026   ·   Alle Werte automatisch berechnet</v>
      </c>
      <c r="C3" s="13"/>
      <c r="D3" s="13"/>
      <c r="E3" s="13"/>
      <c r="F3" s="13"/>
      <c r="G3" s="13"/>
      <c r="H3" s="13"/>
      <c r="I3" s="13"/>
    </row>
    <row r="5" spans="2:9" ht="18" customHeight="1" x14ac:dyDescent="0.25">
      <c r="B5" s="12" t="s">
        <v>32</v>
      </c>
      <c r="C5" s="12"/>
      <c r="E5" s="11" t="s">
        <v>33</v>
      </c>
      <c r="F5" s="11"/>
      <c r="H5" s="10" t="s">
        <v>34</v>
      </c>
      <c r="I5" s="10"/>
    </row>
    <row r="6" spans="2:9" ht="30" customHeight="1" x14ac:dyDescent="0.25">
      <c r="B6" s="9">
        <f>SUMPRODUCT(--(Fahrzeuge!$A$5:$A$22&lt;&gt;""))</f>
        <v>10</v>
      </c>
      <c r="C6" s="9"/>
      <c r="E6" s="8">
        <f>COUNTIF(Fahrzeuge!$Q$5:$Q$22,"Aktiv")</f>
        <v>8</v>
      </c>
      <c r="F6" s="8"/>
      <c r="H6" s="7">
        <f>COUNTIF(Fahrzeuge!$Q$5:$Q$22,"In Wartung")</f>
        <v>1</v>
      </c>
      <c r="I6" s="7"/>
    </row>
    <row r="7" spans="2:9" ht="3.75" customHeight="1" x14ac:dyDescent="0.25">
      <c r="B7" s="6"/>
      <c r="C7" s="6"/>
      <c r="E7" s="5"/>
      <c r="F7" s="5"/>
      <c r="H7" s="4"/>
      <c r="I7" s="4"/>
    </row>
    <row r="9" spans="2:9" ht="18" customHeight="1" x14ac:dyDescent="0.25">
      <c r="B9" s="12" t="s">
        <v>35</v>
      </c>
      <c r="C9" s="12"/>
      <c r="E9" s="11" t="s">
        <v>36</v>
      </c>
      <c r="F9" s="11"/>
      <c r="H9" s="3" t="s">
        <v>37</v>
      </c>
      <c r="I9" s="3"/>
    </row>
    <row r="10" spans="2:9" ht="30" customHeight="1" x14ac:dyDescent="0.25">
      <c r="B10" s="2">
        <f>Auswertung!$E$16</f>
        <v>7352.1665000000012</v>
      </c>
      <c r="C10" s="2"/>
      <c r="E10" s="1">
        <f>Auswertung!$F$46</f>
        <v>12069.769716422288</v>
      </c>
      <c r="F10" s="1"/>
      <c r="H10" s="82">
        <f ca="1">COUNTIF(Termine!$E$5:$E$27,"Überfällig")</f>
        <v>3</v>
      </c>
      <c r="I10" s="82"/>
    </row>
    <row r="11" spans="2:9" ht="3.75" customHeight="1" x14ac:dyDescent="0.25">
      <c r="B11" s="6"/>
      <c r="C11" s="6"/>
      <c r="E11" s="5"/>
      <c r="F11" s="5"/>
      <c r="H11" s="83"/>
      <c r="I11" s="83"/>
    </row>
    <row r="13" spans="2:9" ht="18" customHeight="1" x14ac:dyDescent="0.25">
      <c r="B13" s="84" t="s">
        <v>38</v>
      </c>
      <c r="C13" s="84"/>
      <c r="E13" s="11" t="s">
        <v>39</v>
      </c>
      <c r="F13" s="11"/>
      <c r="H13" s="12" t="s">
        <v>40</v>
      </c>
      <c r="I13" s="12"/>
    </row>
    <row r="14" spans="2:9" ht="30" customHeight="1" x14ac:dyDescent="0.25">
      <c r="B14" s="85">
        <f ca="1">COUNTIF(Termine!$E$5:$E$27,"Bald fällig")</f>
        <v>5</v>
      </c>
      <c r="C14" s="85"/>
      <c r="E14" s="1">
        <f>IFERROR(Auswertung!$E$16/MAX(1,COUNTIF(Fahrzeuge!$Q$5:$Q$22,"Aktiv")),0)</f>
        <v>919.02081250000015</v>
      </c>
      <c r="F14" s="1"/>
      <c r="H14" s="2">
        <f>Auswertung!$G$46</f>
        <v>144837.23659706744</v>
      </c>
      <c r="I14" s="2"/>
    </row>
    <row r="15" spans="2:9" ht="3.75" customHeight="1" x14ac:dyDescent="0.25">
      <c r="B15" s="86"/>
      <c r="C15" s="86"/>
      <c r="E15" s="5"/>
      <c r="F15" s="5"/>
      <c r="H15" s="6"/>
      <c r="I15" s="6"/>
    </row>
    <row r="18" spans="2:9" ht="17.25" x14ac:dyDescent="0.3">
      <c r="B18" s="87" t="s">
        <v>41</v>
      </c>
      <c r="C18" s="87"/>
      <c r="D18" s="87"/>
      <c r="E18" s="87"/>
      <c r="G18" s="87" t="s">
        <v>42</v>
      </c>
      <c r="H18" s="87"/>
      <c r="I18" s="87"/>
    </row>
    <row r="19" spans="2:9" ht="21.75" customHeight="1" x14ac:dyDescent="0.25">
      <c r="B19" s="26" t="s">
        <v>43</v>
      </c>
      <c r="C19" s="88" t="s">
        <v>44</v>
      </c>
      <c r="D19" s="88"/>
      <c r="E19" s="88"/>
      <c r="G19" s="26" t="s">
        <v>45</v>
      </c>
      <c r="H19" s="26" t="s">
        <v>46</v>
      </c>
      <c r="I19" s="27" t="s">
        <v>47</v>
      </c>
    </row>
    <row r="20" spans="2:9" ht="18.75" customHeight="1" x14ac:dyDescent="0.25">
      <c r="B20" s="28" t="str">
        <f>Auswertung!B21</f>
        <v>Kraftstoff</v>
      </c>
      <c r="C20" s="89">
        <f>Auswertung!C21</f>
        <v>1509.9314999999999</v>
      </c>
      <c r="D20" s="89"/>
      <c r="E20" s="89"/>
      <c r="G20" s="30" t="str">
        <f ca="1">IFERROR(INDEX(Termine!$A$5:$A$27,MATCH(SMALL(Termine!$I$5:$I$27,1),Termine!$I$5:$I$27,0)),"")</f>
        <v>M-AB 1201</v>
      </c>
      <c r="H20" s="28" t="str">
        <f ca="1">IFERROR(INDEX(Termine!$B$5:$B$27,MATCH(SMALL(Termine!$I$5:$I$27,1),Termine!$I$5:$I$27,0)),"")</f>
        <v>Hauptuntersuchung (HU)</v>
      </c>
      <c r="I20" s="31">
        <f ca="1">IFERROR(INDEX(Termine!$D$5:$D$27,MATCH(SMALL(Termine!$I$5:$I$27,1),Termine!$I$5:$I$27,0)),"")</f>
        <v>-8</v>
      </c>
    </row>
    <row r="21" spans="2:9" ht="18.75" customHeight="1" x14ac:dyDescent="0.25">
      <c r="B21" s="32" t="str">
        <f>Auswertung!B22</f>
        <v>Wartung</v>
      </c>
      <c r="C21" s="90">
        <f>Auswertung!C22</f>
        <v>1242.9549999999999</v>
      </c>
      <c r="D21" s="90"/>
      <c r="E21" s="90"/>
      <c r="G21" s="34" t="str">
        <f ca="1">IFERROR(INDEX(Termine!$A$5:$A$27,MATCH(SMALL(Termine!$I$5:$I$27,2),Termine!$I$5:$I$27,0)),"")</f>
        <v>K-CD 4410</v>
      </c>
      <c r="H21" s="32" t="str">
        <f ca="1">IFERROR(INDEX(Termine!$B$5:$B$27,MATCH(SMALL(Termine!$I$5:$I$27,2),Termine!$I$5:$I$27,0)),"")</f>
        <v>UVV-Prüfung</v>
      </c>
      <c r="I21" s="35">
        <f ca="1">IFERROR(INDEX(Termine!$D$5:$D$27,MATCH(SMALL(Termine!$I$5:$I$27,2),Termine!$I$5:$I$27,0)),"")</f>
        <v>-3</v>
      </c>
    </row>
    <row r="22" spans="2:9" ht="18.75" customHeight="1" x14ac:dyDescent="0.25">
      <c r="B22" s="28" t="str">
        <f>Auswertung!B23</f>
        <v>Reparatur</v>
      </c>
      <c r="C22" s="89">
        <f>Auswertung!C23</f>
        <v>2101.54</v>
      </c>
      <c r="D22" s="89"/>
      <c r="E22" s="89"/>
      <c r="G22" s="30" t="str">
        <f ca="1">IFERROR(INDEX(Termine!$A$5:$A$27,MATCH(SMALL(Termine!$I$5:$I$27,3),Termine!$I$5:$I$27,0)),"")</f>
        <v>B-GH 2256</v>
      </c>
      <c r="H22" s="28" t="str">
        <f ca="1">IFERROR(INDEX(Termine!$B$5:$B$27,MATCH(SMALL(Termine!$I$5:$I$27,3),Termine!$I$5:$I$27,0)),"")</f>
        <v>Versicherung fällig</v>
      </c>
      <c r="I22" s="31">
        <f ca="1">IFERROR(INDEX(Termine!$D$5:$D$27,MATCH(SMALL(Termine!$I$5:$I$27,3),Termine!$I$5:$I$27,0)),"")</f>
        <v>-1</v>
      </c>
    </row>
    <row r="23" spans="2:9" ht="18.75" customHeight="1" x14ac:dyDescent="0.25">
      <c r="B23" s="32" t="str">
        <f>Auswertung!B24</f>
        <v>Versicherung</v>
      </c>
      <c r="C23" s="90">
        <f>Auswertung!C24</f>
        <v>700</v>
      </c>
      <c r="D23" s="90"/>
      <c r="E23" s="90"/>
      <c r="G23" s="34" t="str">
        <f ca="1">IFERROR(INDEX(Termine!$A$5:$A$27,MATCH(SMALL(Termine!$I$5:$I$27,4),Termine!$I$5:$I$27,0)),"")</f>
        <v>K-CD 4411</v>
      </c>
      <c r="H23" s="32" t="str">
        <f ca="1">IFERROR(INDEX(Termine!$B$5:$B$27,MATCH(SMALL(Termine!$I$5:$I$27,4),Termine!$I$5:$I$27,0)),"")</f>
        <v>Hauptuntersuchung (HU)</v>
      </c>
      <c r="I23" s="35">
        <f ca="1">IFERROR(INDEX(Termine!$D$5:$D$27,MATCH(SMALL(Termine!$I$5:$I$27,4),Termine!$I$5:$I$27,0)),"")</f>
        <v>9</v>
      </c>
    </row>
    <row r="24" spans="2:9" ht="18.75" customHeight="1" x14ac:dyDescent="0.25">
      <c r="B24" s="28" t="str">
        <f>Auswertung!B25</f>
        <v>Kfz-Steuer</v>
      </c>
      <c r="C24" s="89">
        <f>Auswertung!C25</f>
        <v>196</v>
      </c>
      <c r="D24" s="89"/>
      <c r="E24" s="89"/>
      <c r="G24" s="30" t="str">
        <f ca="1">IFERROR(INDEX(Termine!$A$5:$A$27,MATCH(SMALL(Termine!$I$5:$I$27,5),Termine!$I$5:$I$27,0)),"")</f>
        <v>K-CD 4411</v>
      </c>
      <c r="H24" s="28" t="str">
        <f ca="1">IFERROR(INDEX(Termine!$B$5:$B$27,MATCH(SMALL(Termine!$I$5:$I$27,5),Termine!$I$5:$I$27,0)),"")</f>
        <v>Leasingende</v>
      </c>
      <c r="I24" s="31">
        <f ca="1">IFERROR(INDEX(Termine!$D$5:$D$27,MATCH(SMALL(Termine!$I$5:$I$27,5),Termine!$I$5:$I$27,0)),"")</f>
        <v>11</v>
      </c>
    </row>
    <row r="25" spans="2:9" ht="18.75" customHeight="1" x14ac:dyDescent="0.25">
      <c r="B25" s="32" t="str">
        <f>Auswertung!B26</f>
        <v>Leasingrate</v>
      </c>
      <c r="C25" s="90">
        <f>Auswertung!C26</f>
        <v>462.90999999999997</v>
      </c>
      <c r="D25" s="90"/>
      <c r="E25" s="90"/>
      <c r="G25" s="34" t="str">
        <f ca="1">IFERROR(INDEX(Termine!$A$5:$A$27,MATCH(SMALL(Termine!$I$5:$I$27,6),Termine!$I$5:$I$27,0)),"")</f>
        <v>M-AB 1203</v>
      </c>
      <c r="H25" s="32" t="str">
        <f ca="1">IFERROR(INDEX(Termine!$B$5:$B$27,MATCH(SMALL(Termine!$I$5:$I$27,6),Termine!$I$5:$I$27,0)),"")</f>
        <v>UVV-Prüfung</v>
      </c>
      <c r="I25" s="35">
        <f ca="1">IFERROR(INDEX(Termine!$D$5:$D$27,MATCH(SMALL(Termine!$I$5:$I$27,6),Termine!$I$5:$I$27,0)),"")</f>
        <v>14</v>
      </c>
    </row>
    <row r="26" spans="2:9" ht="18.75" customHeight="1" x14ac:dyDescent="0.25">
      <c r="B26" s="28" t="str">
        <f>Auswertung!B27</f>
        <v>Reifen</v>
      </c>
      <c r="C26" s="89">
        <f>Auswertung!C27</f>
        <v>996.03</v>
      </c>
      <c r="D26" s="89"/>
      <c r="E26" s="89"/>
    </row>
    <row r="27" spans="2:9" ht="18.75" customHeight="1" x14ac:dyDescent="0.25">
      <c r="B27" s="32" t="str">
        <f>Auswertung!B28</f>
        <v>Maut/Parken</v>
      </c>
      <c r="C27" s="90">
        <f>Auswertung!C28</f>
        <v>142.80000000000001</v>
      </c>
      <c r="D27" s="90"/>
      <c r="E27" s="90"/>
    </row>
    <row r="28" spans="2:9" ht="18.75" customHeight="1" x14ac:dyDescent="0.25">
      <c r="B28" s="28" t="str">
        <f>Auswertung!B29</f>
        <v>Sonstiges</v>
      </c>
      <c r="C28" s="89">
        <f>Auswertung!C29</f>
        <v>0</v>
      </c>
      <c r="D28" s="89"/>
      <c r="E28" s="89"/>
    </row>
    <row r="30" spans="2:9" ht="27.75" customHeight="1" x14ac:dyDescent="0.25">
      <c r="B30" s="91" t="s">
        <v>48</v>
      </c>
      <c r="C30" s="91"/>
      <c r="D30" s="91"/>
      <c r="E30" s="91"/>
      <c r="F30" s="91"/>
      <c r="G30" s="91"/>
      <c r="H30" s="91"/>
      <c r="I30" s="91"/>
    </row>
  </sheetData>
  <mergeCells count="42">
    <mergeCell ref="C27:E27"/>
    <mergeCell ref="C28:E28"/>
    <mergeCell ref="B30:I30"/>
    <mergeCell ref="C22:E22"/>
    <mergeCell ref="C23:E23"/>
    <mergeCell ref="C24:E24"/>
    <mergeCell ref="C25:E25"/>
    <mergeCell ref="C26:E26"/>
    <mergeCell ref="B18:E18"/>
    <mergeCell ref="G18:I18"/>
    <mergeCell ref="C19:E19"/>
    <mergeCell ref="C20:E20"/>
    <mergeCell ref="C21:E21"/>
    <mergeCell ref="B14:C14"/>
    <mergeCell ref="E14:F14"/>
    <mergeCell ref="H14:I14"/>
    <mergeCell ref="B15:C15"/>
    <mergeCell ref="E15:F15"/>
    <mergeCell ref="H15:I15"/>
    <mergeCell ref="B11:C11"/>
    <mergeCell ref="E11:F11"/>
    <mergeCell ref="H11:I11"/>
    <mergeCell ref="B13:C13"/>
    <mergeCell ref="E13:F13"/>
    <mergeCell ref="H13:I13"/>
    <mergeCell ref="B9:C9"/>
    <mergeCell ref="E9:F9"/>
    <mergeCell ref="H9:I9"/>
    <mergeCell ref="B10:C10"/>
    <mergeCell ref="E10:F10"/>
    <mergeCell ref="H10:I10"/>
    <mergeCell ref="B6:C6"/>
    <mergeCell ref="E6:F6"/>
    <mergeCell ref="H6:I6"/>
    <mergeCell ref="B7:C7"/>
    <mergeCell ref="E7:F7"/>
    <mergeCell ref="H7:I7"/>
    <mergeCell ref="B2:I2"/>
    <mergeCell ref="B3:I3"/>
    <mergeCell ref="B5:C5"/>
    <mergeCell ref="E5:F5"/>
    <mergeCell ref="H5:I5"/>
  </mergeCells>
  <conditionalFormatting sqref="C20:E28">
    <cfRule type="colorScale" priority="2">
      <colorScale>
        <cfvo type="min"/>
        <cfvo type="max"/>
        <color rgb="FFEDF6F9"/>
        <color rgb="FF489FB5"/>
      </colorScale>
    </cfRule>
  </conditionalFormatting>
  <conditionalFormatting sqref="I20:I25">
    <cfRule type="cellIs" dxfId="11" priority="3" operator="lessThan">
      <formula>0</formula>
    </cfRule>
    <cfRule type="cellIs" dxfId="10" priority="4" operator="between">
      <formula>0</formula>
      <formula>30</formula>
    </cfRule>
    <cfRule type="cellIs" dxfId="9" priority="5" operator="greaterThan">
      <formula>30</formula>
    </cfRule>
  </conditionalFormatting>
  <printOptions horizontalCentered="1"/>
  <pageMargins left="0.75" right="0.75" top="1" bottom="1" header="0.511811023622047" footer="0.511811023622047"/>
  <pageSetup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6697A"/>
    <pageSetUpPr fitToPage="1"/>
  </sheetPr>
  <dimension ref="A1:Q22"/>
  <sheetViews>
    <sheetView showGridLines="0" zoomScaleNormal="100" workbookViewId="0">
      <pane ySplit="4" topLeftCell="A5" activePane="bottomLeft" state="frozen"/>
      <selection pane="bottomLeft"/>
    </sheetView>
  </sheetViews>
  <sheetFormatPr baseColWidth="10" defaultColWidth="8.7109375" defaultRowHeight="15" x14ac:dyDescent="0.25"/>
  <cols>
    <col min="1" max="1" width="13" customWidth="1"/>
    <col min="2" max="2" width="20" customWidth="1"/>
    <col min="3" max="3" width="15" customWidth="1"/>
    <col min="4" max="4" width="20" customWidth="1"/>
    <col min="5" max="6" width="15" customWidth="1"/>
    <col min="7" max="9" width="13" customWidth="1"/>
    <col min="10" max="10" width="20" customWidth="1"/>
    <col min="11" max="11" width="17" customWidth="1"/>
    <col min="12" max="12" width="12" customWidth="1"/>
    <col min="13" max="13" width="15" customWidth="1"/>
    <col min="14" max="14" width="13" customWidth="1"/>
    <col min="15" max="16" width="12" customWidth="1"/>
    <col min="17" max="17" width="13" customWidth="1"/>
  </cols>
  <sheetData>
    <row r="1" spans="1:17" ht="33.75" customHeight="1" x14ac:dyDescent="0.25">
      <c r="A1" s="97" t="s">
        <v>49</v>
      </c>
      <c r="B1" s="97"/>
      <c r="C1" s="97"/>
      <c r="D1" s="97"/>
      <c r="E1" s="97"/>
      <c r="F1" s="97"/>
      <c r="G1" s="97"/>
      <c r="H1" s="97"/>
      <c r="I1" s="97"/>
      <c r="J1" s="97"/>
      <c r="K1" s="97"/>
      <c r="L1" s="97"/>
      <c r="M1" s="97"/>
      <c r="N1" s="97"/>
      <c r="O1" s="97"/>
      <c r="P1" s="97"/>
      <c r="Q1" s="97"/>
    </row>
    <row r="2" spans="1:17" ht="18" customHeight="1" x14ac:dyDescent="0.25">
      <c r="A2" s="98" t="s">
        <v>50</v>
      </c>
      <c r="B2" s="98"/>
      <c r="C2" s="98"/>
      <c r="D2" s="98"/>
      <c r="E2" s="98"/>
      <c r="F2" s="98"/>
      <c r="G2" s="98"/>
      <c r="H2" s="98"/>
      <c r="I2" s="98"/>
      <c r="J2" s="98"/>
      <c r="K2" s="98"/>
      <c r="L2" s="98"/>
      <c r="M2" s="98"/>
      <c r="N2" s="98"/>
      <c r="O2" s="98"/>
      <c r="P2" s="98"/>
      <c r="Q2" s="98"/>
    </row>
    <row r="4" spans="1:17" ht="30" customHeight="1" x14ac:dyDescent="0.25">
      <c r="A4" s="36" t="s">
        <v>45</v>
      </c>
      <c r="B4" s="36" t="s">
        <v>51</v>
      </c>
      <c r="C4" s="36" t="s">
        <v>52</v>
      </c>
      <c r="D4" s="36" t="s">
        <v>53</v>
      </c>
      <c r="E4" s="36" t="s">
        <v>54</v>
      </c>
      <c r="F4" s="36" t="s">
        <v>55</v>
      </c>
      <c r="G4" s="36" t="s">
        <v>56</v>
      </c>
      <c r="H4" s="36" t="s">
        <v>57</v>
      </c>
      <c r="I4" s="36" t="s">
        <v>58</v>
      </c>
      <c r="J4" s="36" t="s">
        <v>59</v>
      </c>
      <c r="K4" s="36" t="s">
        <v>60</v>
      </c>
      <c r="L4" s="36" t="s">
        <v>61</v>
      </c>
      <c r="M4" s="36" t="s">
        <v>62</v>
      </c>
      <c r="N4" s="36" t="s">
        <v>63</v>
      </c>
      <c r="O4" s="36" t="s">
        <v>64</v>
      </c>
      <c r="P4" s="36" t="s">
        <v>65</v>
      </c>
      <c r="Q4" s="36" t="s">
        <v>66</v>
      </c>
    </row>
    <row r="5" spans="1:17" ht="19.5" customHeight="1" x14ac:dyDescent="0.25">
      <c r="A5" s="37" t="s">
        <v>67</v>
      </c>
      <c r="B5" s="38" t="s">
        <v>68</v>
      </c>
      <c r="C5" s="38" t="s">
        <v>69</v>
      </c>
      <c r="D5" s="38" t="s">
        <v>70</v>
      </c>
      <c r="E5" s="39" t="s">
        <v>71</v>
      </c>
      <c r="F5" s="39" t="s">
        <v>72</v>
      </c>
      <c r="G5" s="40">
        <v>44999</v>
      </c>
      <c r="H5" s="39" t="s">
        <v>73</v>
      </c>
      <c r="I5" s="40">
        <v>46094</v>
      </c>
      <c r="J5" s="38" t="s">
        <v>74</v>
      </c>
      <c r="K5" s="38" t="s">
        <v>75</v>
      </c>
      <c r="L5" s="38" t="s">
        <v>76</v>
      </c>
      <c r="M5" s="41">
        <v>42500</v>
      </c>
      <c r="N5" s="41">
        <v>17800</v>
      </c>
      <c r="O5" s="41">
        <v>389</v>
      </c>
      <c r="P5" s="42">
        <v>64200</v>
      </c>
      <c r="Q5" s="39" t="s">
        <v>77</v>
      </c>
    </row>
    <row r="6" spans="1:17" ht="19.5" customHeight="1" x14ac:dyDescent="0.25">
      <c r="A6" s="43" t="s">
        <v>78</v>
      </c>
      <c r="B6" s="44" t="s">
        <v>79</v>
      </c>
      <c r="C6" s="44" t="s">
        <v>80</v>
      </c>
      <c r="D6" s="44" t="s">
        <v>81</v>
      </c>
      <c r="E6" s="45" t="s">
        <v>71</v>
      </c>
      <c r="F6" s="45" t="s">
        <v>72</v>
      </c>
      <c r="G6" s="46">
        <v>44805</v>
      </c>
      <c r="H6" s="45" t="s">
        <v>73</v>
      </c>
      <c r="I6" s="46">
        <v>46265</v>
      </c>
      <c r="J6" s="44" t="s">
        <v>82</v>
      </c>
      <c r="K6" s="44" t="s">
        <v>83</v>
      </c>
      <c r="L6" s="44" t="s">
        <v>76</v>
      </c>
      <c r="M6" s="47">
        <v>51200</v>
      </c>
      <c r="N6" s="47">
        <v>19500</v>
      </c>
      <c r="O6" s="47">
        <v>465</v>
      </c>
      <c r="P6" s="48">
        <v>78900</v>
      </c>
      <c r="Q6" s="45" t="s">
        <v>77</v>
      </c>
    </row>
    <row r="7" spans="1:17" ht="19.5" customHeight="1" x14ac:dyDescent="0.25">
      <c r="A7" s="37" t="s">
        <v>84</v>
      </c>
      <c r="B7" s="38" t="s">
        <v>85</v>
      </c>
      <c r="C7" s="38" t="s">
        <v>86</v>
      </c>
      <c r="D7" s="38" t="s">
        <v>87</v>
      </c>
      <c r="E7" s="39" t="s">
        <v>88</v>
      </c>
      <c r="F7" s="39" t="s">
        <v>72</v>
      </c>
      <c r="G7" s="40">
        <v>45313</v>
      </c>
      <c r="H7" s="39" t="s">
        <v>89</v>
      </c>
      <c r="I7" s="40">
        <v>46773</v>
      </c>
      <c r="J7" s="38" t="s">
        <v>90</v>
      </c>
      <c r="K7" s="38" t="s">
        <v>91</v>
      </c>
      <c r="L7" s="38" t="s">
        <v>76</v>
      </c>
      <c r="M7" s="41">
        <v>48900</v>
      </c>
      <c r="N7" s="41">
        <v>22000</v>
      </c>
      <c r="O7" s="41">
        <v>0</v>
      </c>
      <c r="P7" s="42">
        <v>31500</v>
      </c>
      <c r="Q7" s="39" t="s">
        <v>77</v>
      </c>
    </row>
    <row r="8" spans="1:17" ht="19.5" customHeight="1" x14ac:dyDescent="0.25">
      <c r="A8" s="43" t="s">
        <v>92</v>
      </c>
      <c r="B8" s="44" t="s">
        <v>93</v>
      </c>
      <c r="C8" s="44" t="s">
        <v>80</v>
      </c>
      <c r="D8" s="44" t="s">
        <v>94</v>
      </c>
      <c r="E8" s="45" t="s">
        <v>71</v>
      </c>
      <c r="F8" s="45" t="s">
        <v>95</v>
      </c>
      <c r="G8" s="46">
        <v>44357</v>
      </c>
      <c r="H8" s="45" t="s">
        <v>96</v>
      </c>
      <c r="I8" s="46"/>
      <c r="J8" s="44" t="s">
        <v>97</v>
      </c>
      <c r="K8" s="44" t="s">
        <v>98</v>
      </c>
      <c r="L8" s="44" t="s">
        <v>99</v>
      </c>
      <c r="M8" s="47">
        <v>46800</v>
      </c>
      <c r="N8" s="47">
        <v>0</v>
      </c>
      <c r="O8" s="47">
        <v>0</v>
      </c>
      <c r="P8" s="48">
        <v>142300</v>
      </c>
      <c r="Q8" s="45" t="s">
        <v>77</v>
      </c>
    </row>
    <row r="9" spans="1:17" ht="19.5" customHeight="1" x14ac:dyDescent="0.25">
      <c r="A9" s="37" t="s">
        <v>100</v>
      </c>
      <c r="B9" s="38" t="s">
        <v>101</v>
      </c>
      <c r="C9" s="38" t="s">
        <v>69</v>
      </c>
      <c r="D9" s="38" t="s">
        <v>102</v>
      </c>
      <c r="E9" s="39" t="s">
        <v>71</v>
      </c>
      <c r="F9" s="39" t="s">
        <v>103</v>
      </c>
      <c r="G9" s="40">
        <v>44656</v>
      </c>
      <c r="H9" s="39" t="s">
        <v>73</v>
      </c>
      <c r="I9" s="40">
        <v>46116</v>
      </c>
      <c r="J9" s="38" t="s">
        <v>104</v>
      </c>
      <c r="K9" s="38" t="s">
        <v>105</v>
      </c>
      <c r="L9" s="38" t="s">
        <v>99</v>
      </c>
      <c r="M9" s="41">
        <v>39500</v>
      </c>
      <c r="N9" s="41">
        <v>15000</v>
      </c>
      <c r="O9" s="41">
        <v>342</v>
      </c>
      <c r="P9" s="42">
        <v>98700</v>
      </c>
      <c r="Q9" s="39" t="s">
        <v>106</v>
      </c>
    </row>
    <row r="10" spans="1:17" ht="19.5" customHeight="1" x14ac:dyDescent="0.25">
      <c r="A10" s="43" t="s">
        <v>107</v>
      </c>
      <c r="B10" s="44" t="s">
        <v>108</v>
      </c>
      <c r="C10" s="44" t="s">
        <v>109</v>
      </c>
      <c r="D10" s="44" t="s">
        <v>110</v>
      </c>
      <c r="E10" s="45" t="s">
        <v>111</v>
      </c>
      <c r="F10" s="45" t="s">
        <v>103</v>
      </c>
      <c r="G10" s="46">
        <v>45492</v>
      </c>
      <c r="H10" s="45" t="s">
        <v>73</v>
      </c>
      <c r="I10" s="46">
        <v>46586</v>
      </c>
      <c r="J10" s="44" t="s">
        <v>112</v>
      </c>
      <c r="K10" s="44" t="s">
        <v>105</v>
      </c>
      <c r="L10" s="44" t="s">
        <v>99</v>
      </c>
      <c r="M10" s="47">
        <v>37200</v>
      </c>
      <c r="N10" s="47">
        <v>16800</v>
      </c>
      <c r="O10" s="47">
        <v>298</v>
      </c>
      <c r="P10" s="48">
        <v>18400</v>
      </c>
      <c r="Q10" s="45" t="s">
        <v>77</v>
      </c>
    </row>
    <row r="11" spans="1:17" ht="19.5" customHeight="1" x14ac:dyDescent="0.25">
      <c r="A11" s="37" t="s">
        <v>113</v>
      </c>
      <c r="B11" s="38" t="s">
        <v>114</v>
      </c>
      <c r="C11" s="38" t="s">
        <v>115</v>
      </c>
      <c r="D11" s="38" t="s">
        <v>116</v>
      </c>
      <c r="E11" s="39" t="s">
        <v>117</v>
      </c>
      <c r="F11" s="39" t="s">
        <v>118</v>
      </c>
      <c r="G11" s="40">
        <v>45232</v>
      </c>
      <c r="H11" s="39" t="s">
        <v>73</v>
      </c>
      <c r="I11" s="40">
        <v>46327</v>
      </c>
      <c r="J11" s="38" t="s">
        <v>118</v>
      </c>
      <c r="K11" s="38" t="s">
        <v>119</v>
      </c>
      <c r="L11" s="38" t="s">
        <v>120</v>
      </c>
      <c r="M11" s="41">
        <v>31800</v>
      </c>
      <c r="N11" s="41">
        <v>14200</v>
      </c>
      <c r="O11" s="41">
        <v>276</v>
      </c>
      <c r="P11" s="42">
        <v>41100</v>
      </c>
      <c r="Q11" s="39" t="s">
        <v>77</v>
      </c>
    </row>
    <row r="12" spans="1:17" ht="19.5" customHeight="1" x14ac:dyDescent="0.25">
      <c r="A12" s="43" t="s">
        <v>121</v>
      </c>
      <c r="B12" s="44" t="s">
        <v>122</v>
      </c>
      <c r="C12" s="44" t="s">
        <v>123</v>
      </c>
      <c r="D12" s="44" t="s">
        <v>124</v>
      </c>
      <c r="E12" s="45" t="s">
        <v>71</v>
      </c>
      <c r="F12" s="45" t="s">
        <v>95</v>
      </c>
      <c r="G12" s="46">
        <v>43889</v>
      </c>
      <c r="H12" s="45" t="s">
        <v>96</v>
      </c>
      <c r="I12" s="46"/>
      <c r="J12" s="44" t="s">
        <v>125</v>
      </c>
      <c r="K12" s="44" t="s">
        <v>98</v>
      </c>
      <c r="L12" s="44" t="s">
        <v>120</v>
      </c>
      <c r="M12" s="47">
        <v>38400</v>
      </c>
      <c r="N12" s="47">
        <v>0</v>
      </c>
      <c r="O12" s="47">
        <v>0</v>
      </c>
      <c r="P12" s="48">
        <v>187600</v>
      </c>
      <c r="Q12" s="45" t="s">
        <v>126</v>
      </c>
    </row>
    <row r="13" spans="1:17" ht="19.5" customHeight="1" x14ac:dyDescent="0.25">
      <c r="A13" s="37" t="s">
        <v>127</v>
      </c>
      <c r="B13" s="38" t="s">
        <v>128</v>
      </c>
      <c r="C13" s="38" t="s">
        <v>129</v>
      </c>
      <c r="D13" s="38" t="s">
        <v>130</v>
      </c>
      <c r="E13" s="39" t="s">
        <v>71</v>
      </c>
      <c r="F13" s="39" t="s">
        <v>72</v>
      </c>
      <c r="G13" s="40">
        <v>45076</v>
      </c>
      <c r="H13" s="39" t="s">
        <v>73</v>
      </c>
      <c r="I13" s="40">
        <v>46536</v>
      </c>
      <c r="J13" s="38" t="s">
        <v>131</v>
      </c>
      <c r="K13" s="38" t="s">
        <v>75</v>
      </c>
      <c r="L13" s="38" t="s">
        <v>132</v>
      </c>
      <c r="M13" s="41">
        <v>47600</v>
      </c>
      <c r="N13" s="41">
        <v>20100</v>
      </c>
      <c r="O13" s="41">
        <v>418</v>
      </c>
      <c r="P13" s="42">
        <v>55800</v>
      </c>
      <c r="Q13" s="39" t="s">
        <v>77</v>
      </c>
    </row>
    <row r="14" spans="1:17" ht="19.5" customHeight="1" x14ac:dyDescent="0.25">
      <c r="A14" s="43" t="s">
        <v>133</v>
      </c>
      <c r="B14" s="44" t="s">
        <v>134</v>
      </c>
      <c r="C14" s="44" t="s">
        <v>135</v>
      </c>
      <c r="D14" s="44" t="s">
        <v>136</v>
      </c>
      <c r="E14" s="45" t="s">
        <v>111</v>
      </c>
      <c r="F14" s="45" t="s">
        <v>72</v>
      </c>
      <c r="G14" s="46">
        <v>45573</v>
      </c>
      <c r="H14" s="45" t="s">
        <v>73</v>
      </c>
      <c r="I14" s="46">
        <v>47033</v>
      </c>
      <c r="J14" s="44" t="s">
        <v>137</v>
      </c>
      <c r="K14" s="44" t="s">
        <v>83</v>
      </c>
      <c r="L14" s="44" t="s">
        <v>132</v>
      </c>
      <c r="M14" s="47">
        <v>44900</v>
      </c>
      <c r="N14" s="47">
        <v>21500</v>
      </c>
      <c r="O14" s="47">
        <v>512</v>
      </c>
      <c r="P14" s="48">
        <v>12900</v>
      </c>
      <c r="Q14" s="45" t="s">
        <v>77</v>
      </c>
    </row>
    <row r="15" spans="1:17" ht="19.5" customHeight="1" x14ac:dyDescent="0.25">
      <c r="A15" s="39"/>
      <c r="B15" s="49"/>
      <c r="C15" s="49"/>
      <c r="D15" s="49"/>
      <c r="E15" s="39"/>
      <c r="F15" s="39"/>
      <c r="G15" s="40"/>
      <c r="H15" s="39"/>
      <c r="I15" s="40"/>
      <c r="J15" s="49"/>
      <c r="K15" s="49"/>
      <c r="L15" s="49"/>
      <c r="M15" s="41"/>
      <c r="N15" s="41"/>
      <c r="O15" s="41"/>
      <c r="P15" s="42"/>
      <c r="Q15" s="39"/>
    </row>
    <row r="16" spans="1:17" ht="19.5" customHeight="1" x14ac:dyDescent="0.25">
      <c r="A16" s="45"/>
      <c r="B16" s="50"/>
      <c r="C16" s="50"/>
      <c r="D16" s="50"/>
      <c r="E16" s="45"/>
      <c r="F16" s="45"/>
      <c r="G16" s="46"/>
      <c r="H16" s="45"/>
      <c r="I16" s="46"/>
      <c r="J16" s="50"/>
      <c r="K16" s="50"/>
      <c r="L16" s="50"/>
      <c r="M16" s="47"/>
      <c r="N16" s="47"/>
      <c r="O16" s="47"/>
      <c r="P16" s="48"/>
      <c r="Q16" s="45"/>
    </row>
    <row r="17" spans="1:17" ht="19.5" customHeight="1" x14ac:dyDescent="0.25">
      <c r="A17" s="39"/>
      <c r="B17" s="49"/>
      <c r="C17" s="49"/>
      <c r="D17" s="49"/>
      <c r="E17" s="39"/>
      <c r="F17" s="39"/>
      <c r="G17" s="40"/>
      <c r="H17" s="39"/>
      <c r="I17" s="40"/>
      <c r="J17" s="49"/>
      <c r="K17" s="49"/>
      <c r="L17" s="49"/>
      <c r="M17" s="41"/>
      <c r="N17" s="41"/>
      <c r="O17" s="41"/>
      <c r="P17" s="42"/>
      <c r="Q17" s="39"/>
    </row>
    <row r="18" spans="1:17" ht="19.5" customHeight="1" x14ac:dyDescent="0.25">
      <c r="A18" s="45"/>
      <c r="B18" s="50"/>
      <c r="C18" s="50"/>
      <c r="D18" s="50"/>
      <c r="E18" s="45"/>
      <c r="F18" s="45"/>
      <c r="G18" s="46"/>
      <c r="H18" s="45"/>
      <c r="I18" s="46"/>
      <c r="J18" s="50"/>
      <c r="K18" s="50"/>
      <c r="L18" s="50"/>
      <c r="M18" s="47"/>
      <c r="N18" s="47"/>
      <c r="O18" s="47"/>
      <c r="P18" s="48"/>
      <c r="Q18" s="45"/>
    </row>
    <row r="19" spans="1:17" ht="19.5" customHeight="1" x14ac:dyDescent="0.25">
      <c r="A19" s="39"/>
      <c r="B19" s="49"/>
      <c r="C19" s="49"/>
      <c r="D19" s="49"/>
      <c r="E19" s="39"/>
      <c r="F19" s="39"/>
      <c r="G19" s="40"/>
      <c r="H19" s="39"/>
      <c r="I19" s="40"/>
      <c r="J19" s="49"/>
      <c r="K19" s="49"/>
      <c r="L19" s="49"/>
      <c r="M19" s="41"/>
      <c r="N19" s="41"/>
      <c r="O19" s="41"/>
      <c r="P19" s="42"/>
      <c r="Q19" s="39"/>
    </row>
    <row r="20" spans="1:17" ht="19.5" customHeight="1" x14ac:dyDescent="0.25">
      <c r="A20" s="45"/>
      <c r="B20" s="50"/>
      <c r="C20" s="50"/>
      <c r="D20" s="50"/>
      <c r="E20" s="45"/>
      <c r="F20" s="45"/>
      <c r="G20" s="46"/>
      <c r="H20" s="45"/>
      <c r="I20" s="46"/>
      <c r="J20" s="50"/>
      <c r="K20" s="50"/>
      <c r="L20" s="50"/>
      <c r="M20" s="47"/>
      <c r="N20" s="47"/>
      <c r="O20" s="47"/>
      <c r="P20" s="48"/>
      <c r="Q20" s="45"/>
    </row>
    <row r="21" spans="1:17" ht="19.5" customHeight="1" x14ac:dyDescent="0.25">
      <c r="A21" s="39"/>
      <c r="B21" s="49"/>
      <c r="C21" s="49"/>
      <c r="D21" s="49"/>
      <c r="E21" s="39"/>
      <c r="F21" s="39"/>
      <c r="G21" s="40"/>
      <c r="H21" s="39"/>
      <c r="I21" s="40"/>
      <c r="J21" s="49"/>
      <c r="K21" s="49"/>
      <c r="L21" s="49"/>
      <c r="M21" s="41"/>
      <c r="N21" s="41"/>
      <c r="O21" s="41"/>
      <c r="P21" s="42"/>
      <c r="Q21" s="39"/>
    </row>
    <row r="22" spans="1:17" ht="19.5" customHeight="1" x14ac:dyDescent="0.25">
      <c r="A22" s="45"/>
      <c r="B22" s="50"/>
      <c r="C22" s="50"/>
      <c r="D22" s="50"/>
      <c r="E22" s="45"/>
      <c r="F22" s="45"/>
      <c r="G22" s="46"/>
      <c r="H22" s="45"/>
      <c r="I22" s="46"/>
      <c r="J22" s="50"/>
      <c r="K22" s="50"/>
      <c r="L22" s="50"/>
      <c r="M22" s="47"/>
      <c r="N22" s="47"/>
      <c r="O22" s="47"/>
      <c r="P22" s="48"/>
      <c r="Q22" s="45"/>
    </row>
  </sheetData>
  <autoFilter ref="A4:Q22" xr:uid="{00000000-0009-0000-0000-000002000000}"/>
  <mergeCells count="2">
    <mergeCell ref="A1:Q1"/>
    <mergeCell ref="A2:Q2"/>
  </mergeCells>
  <conditionalFormatting sqref="Q5:Q22">
    <cfRule type="cellIs" dxfId="8" priority="2" operator="equal">
      <formula>"Aktiv"</formula>
    </cfRule>
    <cfRule type="cellIs" dxfId="7" priority="3" operator="equal">
      <formula>"In Wartung"</formula>
    </cfRule>
    <cfRule type="cellIs" dxfId="6" priority="4" operator="equal">
      <formula>"Stillgelegt"</formula>
    </cfRule>
    <cfRule type="cellIs" dxfId="5" priority="5" operator="equal">
      <formula>"Verkauft"</formula>
    </cfRule>
  </conditionalFormatting>
  <printOptions horizontalCentered="1"/>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4">
        <x14:dataValidation type="list" allowBlank="1" xr:uid="{00000000-0002-0000-0200-000000000000}">
          <x14:formula1>
            <xm:f>Listen!$A$3:$A$6</xm:f>
          </x14:formula1>
          <x14:formula2>
            <xm:f>0</xm:f>
          </x14:formula2>
          <xm:sqref>Q5:Q22</xm:sqref>
        </x14:dataValidation>
        <x14:dataValidation type="list" allowBlank="1" xr:uid="{00000000-0002-0000-0200-000001000000}">
          <x14:formula1>
            <xm:f>Listen!$B$3:$B$8</xm:f>
          </x14:formula1>
          <x14:formula2>
            <xm:f>0</xm:f>
          </x14:formula2>
          <xm:sqref>E5:E22</xm:sqref>
        </x14:dataValidation>
        <x14:dataValidation type="list" allowBlank="1" xr:uid="{00000000-0002-0000-0200-000002000000}">
          <x14:formula1>
            <xm:f>Listen!$C$3:$C$7</xm:f>
          </x14:formula1>
          <x14:formula2>
            <xm:f>0</xm:f>
          </x14:formula2>
          <xm:sqref>F5:F22</xm:sqref>
        </x14:dataValidation>
        <x14:dataValidation type="list" allowBlank="1" xr:uid="{00000000-0002-0000-0200-000003000000}">
          <x14:formula1>
            <xm:f>Listen!$D$3:$D$6</xm:f>
          </x14:formula1>
          <x14:formula2>
            <xm:f>0</xm:f>
          </x14:formula2>
          <xm:sqref>H5:H22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89FB5"/>
    <pageSetUpPr fitToPage="1"/>
  </sheetPr>
  <dimension ref="A1:J45"/>
  <sheetViews>
    <sheetView showGridLines="0" zoomScaleNormal="100" workbookViewId="0">
      <pane ySplit="4" topLeftCell="A5" activePane="bottomLeft" state="frozen"/>
      <selection pane="bottomLeft"/>
    </sheetView>
  </sheetViews>
  <sheetFormatPr baseColWidth="10" defaultColWidth="8.7109375" defaultRowHeight="15" x14ac:dyDescent="0.25"/>
  <cols>
    <col min="1" max="2" width="13" customWidth="1"/>
    <col min="3" max="3" width="15" customWidth="1"/>
    <col min="4" max="4" width="30" customWidth="1"/>
    <col min="5" max="5" width="13" customWidth="1"/>
    <col min="6" max="6" width="11" customWidth="1"/>
    <col min="7" max="8" width="13" customWidth="1"/>
    <col min="9" max="9" width="12" customWidth="1"/>
    <col min="10" max="10" width="14" customWidth="1"/>
  </cols>
  <sheetData>
    <row r="1" spans="1:10" ht="33.75" customHeight="1" x14ac:dyDescent="0.25">
      <c r="A1" s="99" t="s">
        <v>138</v>
      </c>
      <c r="B1" s="99"/>
      <c r="C1" s="99"/>
      <c r="D1" s="99"/>
      <c r="E1" s="99"/>
      <c r="F1" s="99"/>
      <c r="G1" s="99"/>
      <c r="H1" s="99"/>
      <c r="I1" s="99"/>
      <c r="J1" s="99"/>
    </row>
    <row r="2" spans="1:10" ht="18" customHeight="1" x14ac:dyDescent="0.25">
      <c r="A2" s="98" t="s">
        <v>139</v>
      </c>
      <c r="B2" s="98"/>
      <c r="C2" s="98"/>
      <c r="D2" s="98"/>
      <c r="E2" s="98"/>
      <c r="F2" s="98"/>
      <c r="G2" s="98"/>
      <c r="H2" s="98"/>
      <c r="I2" s="98"/>
      <c r="J2" s="98"/>
    </row>
    <row r="4" spans="1:10" ht="25.5" customHeight="1" x14ac:dyDescent="0.25">
      <c r="A4" s="36" t="s">
        <v>140</v>
      </c>
      <c r="B4" s="36" t="s">
        <v>45</v>
      </c>
      <c r="C4" s="36" t="s">
        <v>43</v>
      </c>
      <c r="D4" s="36" t="s">
        <v>141</v>
      </c>
      <c r="E4" s="36" t="s">
        <v>142</v>
      </c>
      <c r="F4" s="36" t="s">
        <v>143</v>
      </c>
      <c r="G4" s="36" t="s">
        <v>144</v>
      </c>
      <c r="H4" s="36" t="s">
        <v>145</v>
      </c>
      <c r="I4" s="36" t="s">
        <v>65</v>
      </c>
      <c r="J4" s="36" t="s">
        <v>146</v>
      </c>
    </row>
    <row r="5" spans="1:10" ht="18.75" customHeight="1" x14ac:dyDescent="0.25">
      <c r="A5" s="40">
        <v>46030</v>
      </c>
      <c r="B5" s="39" t="s">
        <v>67</v>
      </c>
      <c r="C5" s="39" t="s">
        <v>54</v>
      </c>
      <c r="D5" s="38" t="s">
        <v>147</v>
      </c>
      <c r="E5" s="51">
        <v>118.4</v>
      </c>
      <c r="F5" s="52">
        <v>0.19</v>
      </c>
      <c r="G5" s="53">
        <f t="shared" ref="G5:G29" si="0">E5*F5</f>
        <v>22.496000000000002</v>
      </c>
      <c r="H5" s="53">
        <f t="shared" ref="H5:H29" si="1">E5+G5</f>
        <v>140.89600000000002</v>
      </c>
      <c r="I5" s="42">
        <v>64850</v>
      </c>
      <c r="J5" s="38" t="s">
        <v>148</v>
      </c>
    </row>
    <row r="6" spans="1:10" ht="18.75" customHeight="1" x14ac:dyDescent="0.25">
      <c r="A6" s="46">
        <v>46031</v>
      </c>
      <c r="B6" s="45" t="s">
        <v>78</v>
      </c>
      <c r="C6" s="45" t="s">
        <v>54</v>
      </c>
      <c r="D6" s="44" t="s">
        <v>149</v>
      </c>
      <c r="E6" s="54">
        <v>132.1</v>
      </c>
      <c r="F6" s="55">
        <v>0.19</v>
      </c>
      <c r="G6" s="56">
        <f t="shared" si="0"/>
        <v>25.099</v>
      </c>
      <c r="H6" s="56">
        <f t="shared" si="1"/>
        <v>157.19899999999998</v>
      </c>
      <c r="I6" s="48">
        <v>79210</v>
      </c>
      <c r="J6" s="44" t="s">
        <v>150</v>
      </c>
    </row>
    <row r="7" spans="1:10" ht="18.75" customHeight="1" x14ac:dyDescent="0.25">
      <c r="A7" s="40">
        <v>46034</v>
      </c>
      <c r="B7" s="39" t="s">
        <v>92</v>
      </c>
      <c r="C7" s="39" t="s">
        <v>151</v>
      </c>
      <c r="D7" s="38" t="s">
        <v>152</v>
      </c>
      <c r="E7" s="51">
        <v>645</v>
      </c>
      <c r="F7" s="52">
        <v>0.19</v>
      </c>
      <c r="G7" s="53">
        <f t="shared" si="0"/>
        <v>122.55</v>
      </c>
      <c r="H7" s="53">
        <f t="shared" si="1"/>
        <v>767.55</v>
      </c>
      <c r="I7" s="42">
        <v>142300</v>
      </c>
      <c r="J7" s="38" t="s">
        <v>153</v>
      </c>
    </row>
    <row r="8" spans="1:10" ht="18.75" customHeight="1" x14ac:dyDescent="0.25">
      <c r="A8" s="46">
        <v>46036</v>
      </c>
      <c r="B8" s="45" t="s">
        <v>133</v>
      </c>
      <c r="C8" s="45" t="s">
        <v>54</v>
      </c>
      <c r="D8" s="44" t="s">
        <v>154</v>
      </c>
      <c r="E8" s="54">
        <v>41.75</v>
      </c>
      <c r="F8" s="55">
        <v>0.19</v>
      </c>
      <c r="G8" s="56">
        <f t="shared" si="0"/>
        <v>7.9325000000000001</v>
      </c>
      <c r="H8" s="56">
        <f t="shared" si="1"/>
        <v>49.682499999999997</v>
      </c>
      <c r="I8" s="48">
        <v>13050</v>
      </c>
      <c r="J8" s="44" t="s">
        <v>155</v>
      </c>
    </row>
    <row r="9" spans="1:10" ht="18.75" customHeight="1" x14ac:dyDescent="0.25">
      <c r="A9" s="40">
        <v>46037</v>
      </c>
      <c r="B9" s="39" t="s">
        <v>113</v>
      </c>
      <c r="C9" s="39" t="s">
        <v>54</v>
      </c>
      <c r="D9" s="38" t="s">
        <v>156</v>
      </c>
      <c r="E9" s="51">
        <v>86.3</v>
      </c>
      <c r="F9" s="52">
        <v>0.19</v>
      </c>
      <c r="G9" s="53">
        <f t="shared" si="0"/>
        <v>16.396999999999998</v>
      </c>
      <c r="H9" s="53">
        <f t="shared" si="1"/>
        <v>102.697</v>
      </c>
      <c r="I9" s="42">
        <v>41320</v>
      </c>
      <c r="J9" s="38" t="s">
        <v>157</v>
      </c>
    </row>
    <row r="10" spans="1:10" ht="18.75" customHeight="1" x14ac:dyDescent="0.25">
      <c r="A10" s="46">
        <v>46040</v>
      </c>
      <c r="B10" s="45" t="s">
        <v>100</v>
      </c>
      <c r="C10" s="45" t="s">
        <v>158</v>
      </c>
      <c r="D10" s="44" t="s">
        <v>159</v>
      </c>
      <c r="E10" s="54">
        <v>1280</v>
      </c>
      <c r="F10" s="55">
        <v>0.19</v>
      </c>
      <c r="G10" s="56">
        <f t="shared" si="0"/>
        <v>243.2</v>
      </c>
      <c r="H10" s="56">
        <f t="shared" si="1"/>
        <v>1523.2</v>
      </c>
      <c r="I10" s="48">
        <v>98950</v>
      </c>
      <c r="J10" s="44" t="s">
        <v>160</v>
      </c>
    </row>
    <row r="11" spans="1:10" ht="18.75" customHeight="1" x14ac:dyDescent="0.25">
      <c r="A11" s="40">
        <v>46042</v>
      </c>
      <c r="B11" s="39" t="s">
        <v>84</v>
      </c>
      <c r="C11" s="39" t="s">
        <v>161</v>
      </c>
      <c r="D11" s="38" t="s">
        <v>162</v>
      </c>
      <c r="E11" s="51">
        <v>342</v>
      </c>
      <c r="F11" s="52">
        <v>0</v>
      </c>
      <c r="G11" s="53">
        <f t="shared" si="0"/>
        <v>0</v>
      </c>
      <c r="H11" s="53">
        <f t="shared" si="1"/>
        <v>342</v>
      </c>
      <c r="I11" s="42">
        <v>31500</v>
      </c>
      <c r="J11" s="38" t="s">
        <v>163</v>
      </c>
    </row>
    <row r="12" spans="1:10" ht="18.75" customHeight="1" x14ac:dyDescent="0.25">
      <c r="A12" s="46">
        <v>46044</v>
      </c>
      <c r="B12" s="45" t="s">
        <v>127</v>
      </c>
      <c r="C12" s="45" t="s">
        <v>164</v>
      </c>
      <c r="D12" s="44" t="s">
        <v>165</v>
      </c>
      <c r="E12" s="54">
        <v>196</v>
      </c>
      <c r="F12" s="55">
        <v>0</v>
      </c>
      <c r="G12" s="56">
        <f t="shared" si="0"/>
        <v>0</v>
      </c>
      <c r="H12" s="56">
        <f t="shared" si="1"/>
        <v>196</v>
      </c>
      <c r="I12" s="48">
        <v>55800</v>
      </c>
      <c r="J12" s="44" t="s">
        <v>166</v>
      </c>
    </row>
    <row r="13" spans="1:10" ht="18.75" customHeight="1" x14ac:dyDescent="0.25">
      <c r="A13" s="40">
        <v>46047</v>
      </c>
      <c r="B13" s="39" t="s">
        <v>107</v>
      </c>
      <c r="C13" s="39" t="s">
        <v>167</v>
      </c>
      <c r="D13" s="38" t="s">
        <v>168</v>
      </c>
      <c r="E13" s="51">
        <v>742</v>
      </c>
      <c r="F13" s="52">
        <v>0.19</v>
      </c>
      <c r="G13" s="53">
        <f t="shared" si="0"/>
        <v>140.97999999999999</v>
      </c>
      <c r="H13" s="53">
        <f t="shared" si="1"/>
        <v>882.98</v>
      </c>
      <c r="I13" s="42">
        <v>18600</v>
      </c>
      <c r="J13" s="38" t="s">
        <v>169</v>
      </c>
    </row>
    <row r="14" spans="1:10" ht="18.75" customHeight="1" x14ac:dyDescent="0.25">
      <c r="A14" s="46">
        <v>46056</v>
      </c>
      <c r="B14" s="45" t="s">
        <v>67</v>
      </c>
      <c r="C14" s="45" t="s">
        <v>170</v>
      </c>
      <c r="D14" s="44" t="s">
        <v>171</v>
      </c>
      <c r="E14" s="54">
        <v>389</v>
      </c>
      <c r="F14" s="55">
        <v>0.19</v>
      </c>
      <c r="G14" s="56">
        <f t="shared" si="0"/>
        <v>73.91</v>
      </c>
      <c r="H14" s="56">
        <f t="shared" si="1"/>
        <v>462.90999999999997</v>
      </c>
      <c r="I14" s="48">
        <v>65400</v>
      </c>
      <c r="J14" s="44" t="s">
        <v>172</v>
      </c>
    </row>
    <row r="15" spans="1:10" ht="18.75" customHeight="1" x14ac:dyDescent="0.25">
      <c r="A15" s="40">
        <v>46058</v>
      </c>
      <c r="B15" s="39" t="s">
        <v>113</v>
      </c>
      <c r="C15" s="39" t="s">
        <v>151</v>
      </c>
      <c r="D15" s="38" t="s">
        <v>173</v>
      </c>
      <c r="E15" s="51">
        <v>189.5</v>
      </c>
      <c r="F15" s="52">
        <v>0.19</v>
      </c>
      <c r="G15" s="53">
        <f t="shared" si="0"/>
        <v>36.005000000000003</v>
      </c>
      <c r="H15" s="53">
        <f t="shared" si="1"/>
        <v>225.505</v>
      </c>
      <c r="I15" s="42">
        <v>41900</v>
      </c>
      <c r="J15" s="38" t="s">
        <v>174</v>
      </c>
    </row>
    <row r="16" spans="1:10" ht="18.75" customHeight="1" x14ac:dyDescent="0.25">
      <c r="A16" s="46">
        <v>46060</v>
      </c>
      <c r="B16" s="45" t="s">
        <v>133</v>
      </c>
      <c r="C16" s="45" t="s">
        <v>54</v>
      </c>
      <c r="D16" s="44" t="s">
        <v>175</v>
      </c>
      <c r="E16" s="54">
        <v>28.9</v>
      </c>
      <c r="F16" s="55">
        <v>0.19</v>
      </c>
      <c r="G16" s="56">
        <f t="shared" si="0"/>
        <v>5.4909999999999997</v>
      </c>
      <c r="H16" s="56">
        <f t="shared" si="1"/>
        <v>34.390999999999998</v>
      </c>
      <c r="I16" s="48">
        <v>14100</v>
      </c>
      <c r="J16" s="44" t="s">
        <v>176</v>
      </c>
    </row>
    <row r="17" spans="1:10" ht="18.75" customHeight="1" x14ac:dyDescent="0.25">
      <c r="A17" s="40">
        <v>46064</v>
      </c>
      <c r="B17" s="39" t="s">
        <v>92</v>
      </c>
      <c r="C17" s="39" t="s">
        <v>54</v>
      </c>
      <c r="D17" s="38" t="s">
        <v>177</v>
      </c>
      <c r="E17" s="51">
        <v>156.80000000000001</v>
      </c>
      <c r="F17" s="52">
        <v>0.19</v>
      </c>
      <c r="G17" s="53">
        <f t="shared" si="0"/>
        <v>29.792000000000002</v>
      </c>
      <c r="H17" s="53">
        <f t="shared" si="1"/>
        <v>186.59200000000001</v>
      </c>
      <c r="I17" s="42">
        <v>143100</v>
      </c>
      <c r="J17" s="38" t="s">
        <v>178</v>
      </c>
    </row>
    <row r="18" spans="1:10" ht="18.75" customHeight="1" x14ac:dyDescent="0.25">
      <c r="A18" s="46">
        <v>46067</v>
      </c>
      <c r="B18" s="45" t="s">
        <v>78</v>
      </c>
      <c r="C18" s="45" t="s">
        <v>179</v>
      </c>
      <c r="D18" s="44" t="s">
        <v>180</v>
      </c>
      <c r="E18" s="54">
        <v>24</v>
      </c>
      <c r="F18" s="55">
        <v>0.19</v>
      </c>
      <c r="G18" s="56">
        <f t="shared" si="0"/>
        <v>4.5600000000000005</v>
      </c>
      <c r="H18" s="56">
        <f t="shared" si="1"/>
        <v>28.560000000000002</v>
      </c>
      <c r="I18" s="48">
        <v>79800</v>
      </c>
      <c r="J18" s="44" t="s">
        <v>181</v>
      </c>
    </row>
    <row r="19" spans="1:10" ht="18.75" customHeight="1" x14ac:dyDescent="0.25">
      <c r="A19" s="40">
        <v>46069</v>
      </c>
      <c r="B19" s="39" t="s">
        <v>127</v>
      </c>
      <c r="C19" s="39" t="s">
        <v>54</v>
      </c>
      <c r="D19" s="38" t="s">
        <v>182</v>
      </c>
      <c r="E19" s="51">
        <v>124.6</v>
      </c>
      <c r="F19" s="52">
        <v>0.19</v>
      </c>
      <c r="G19" s="53">
        <f t="shared" si="0"/>
        <v>23.673999999999999</v>
      </c>
      <c r="H19" s="53">
        <f t="shared" si="1"/>
        <v>148.274</v>
      </c>
      <c r="I19" s="42">
        <v>56350</v>
      </c>
      <c r="J19" s="38" t="s">
        <v>183</v>
      </c>
    </row>
    <row r="20" spans="1:10" ht="18.75" customHeight="1" x14ac:dyDescent="0.25">
      <c r="A20" s="46">
        <v>46072</v>
      </c>
      <c r="B20" s="45" t="s">
        <v>100</v>
      </c>
      <c r="C20" s="45" t="s">
        <v>54</v>
      </c>
      <c r="D20" s="44" t="s">
        <v>149</v>
      </c>
      <c r="E20" s="54">
        <v>148.19999999999999</v>
      </c>
      <c r="F20" s="55">
        <v>0.19</v>
      </c>
      <c r="G20" s="56">
        <f t="shared" si="0"/>
        <v>28.157999999999998</v>
      </c>
      <c r="H20" s="56">
        <f t="shared" si="1"/>
        <v>176.35799999999998</v>
      </c>
      <c r="I20" s="48">
        <v>99400</v>
      </c>
      <c r="J20" s="44" t="s">
        <v>184</v>
      </c>
    </row>
    <row r="21" spans="1:10" ht="18.75" customHeight="1" x14ac:dyDescent="0.25">
      <c r="A21" s="40">
        <v>46075</v>
      </c>
      <c r="B21" s="39" t="s">
        <v>84</v>
      </c>
      <c r="C21" s="39" t="s">
        <v>167</v>
      </c>
      <c r="D21" s="38" t="s">
        <v>185</v>
      </c>
      <c r="E21" s="51">
        <v>95</v>
      </c>
      <c r="F21" s="52">
        <v>0.19</v>
      </c>
      <c r="G21" s="53">
        <f t="shared" si="0"/>
        <v>18.05</v>
      </c>
      <c r="H21" s="53">
        <f t="shared" si="1"/>
        <v>113.05</v>
      </c>
      <c r="I21" s="42">
        <v>32050</v>
      </c>
      <c r="J21" s="38" t="s">
        <v>186</v>
      </c>
    </row>
    <row r="22" spans="1:10" ht="18.75" customHeight="1" x14ac:dyDescent="0.25">
      <c r="A22" s="46">
        <v>46078</v>
      </c>
      <c r="B22" s="45" t="s">
        <v>133</v>
      </c>
      <c r="C22" s="45" t="s">
        <v>161</v>
      </c>
      <c r="D22" s="44" t="s">
        <v>162</v>
      </c>
      <c r="E22" s="54">
        <v>358</v>
      </c>
      <c r="F22" s="55">
        <v>0</v>
      </c>
      <c r="G22" s="56">
        <f t="shared" si="0"/>
        <v>0</v>
      </c>
      <c r="H22" s="56">
        <f t="shared" si="1"/>
        <v>358</v>
      </c>
      <c r="I22" s="48">
        <v>14600</v>
      </c>
      <c r="J22" s="44" t="s">
        <v>187</v>
      </c>
    </row>
    <row r="23" spans="1:10" ht="18.75" customHeight="1" x14ac:dyDescent="0.25">
      <c r="A23" s="40">
        <v>46083</v>
      </c>
      <c r="B23" s="39" t="s">
        <v>67</v>
      </c>
      <c r="C23" s="39" t="s">
        <v>54</v>
      </c>
      <c r="D23" s="38" t="s">
        <v>147</v>
      </c>
      <c r="E23" s="51">
        <v>121.9</v>
      </c>
      <c r="F23" s="52">
        <v>0.19</v>
      </c>
      <c r="G23" s="53">
        <f t="shared" si="0"/>
        <v>23.161000000000001</v>
      </c>
      <c r="H23" s="53">
        <f t="shared" si="1"/>
        <v>145.06100000000001</v>
      </c>
      <c r="I23" s="42">
        <v>66100</v>
      </c>
      <c r="J23" s="38" t="s">
        <v>188</v>
      </c>
    </row>
    <row r="24" spans="1:10" ht="18.75" customHeight="1" x14ac:dyDescent="0.25">
      <c r="A24" s="46">
        <v>46087</v>
      </c>
      <c r="B24" s="45" t="s">
        <v>107</v>
      </c>
      <c r="C24" s="45" t="s">
        <v>151</v>
      </c>
      <c r="D24" s="44" t="s">
        <v>189</v>
      </c>
      <c r="E24" s="54">
        <v>210</v>
      </c>
      <c r="F24" s="55">
        <v>0.19</v>
      </c>
      <c r="G24" s="56">
        <f t="shared" si="0"/>
        <v>39.9</v>
      </c>
      <c r="H24" s="56">
        <f t="shared" si="1"/>
        <v>249.9</v>
      </c>
      <c r="I24" s="48">
        <v>19200</v>
      </c>
      <c r="J24" s="44" t="s">
        <v>190</v>
      </c>
    </row>
    <row r="25" spans="1:10" ht="18.75" customHeight="1" x14ac:dyDescent="0.25">
      <c r="A25" s="40">
        <v>46090</v>
      </c>
      <c r="B25" s="39" t="s">
        <v>113</v>
      </c>
      <c r="C25" s="39" t="s">
        <v>54</v>
      </c>
      <c r="D25" s="38" t="s">
        <v>156</v>
      </c>
      <c r="E25" s="51">
        <v>79.400000000000006</v>
      </c>
      <c r="F25" s="52">
        <v>0.19</v>
      </c>
      <c r="G25" s="53">
        <f t="shared" si="0"/>
        <v>15.086000000000002</v>
      </c>
      <c r="H25" s="53">
        <f t="shared" si="1"/>
        <v>94.486000000000004</v>
      </c>
      <c r="I25" s="42">
        <v>42800</v>
      </c>
      <c r="J25" s="38" t="s">
        <v>191</v>
      </c>
    </row>
    <row r="26" spans="1:10" ht="18.75" customHeight="1" x14ac:dyDescent="0.25">
      <c r="A26" s="46">
        <v>46093</v>
      </c>
      <c r="B26" s="45" t="s">
        <v>78</v>
      </c>
      <c r="C26" s="45" t="s">
        <v>158</v>
      </c>
      <c r="D26" s="44" t="s">
        <v>192</v>
      </c>
      <c r="E26" s="54">
        <v>486</v>
      </c>
      <c r="F26" s="55">
        <v>0.19</v>
      </c>
      <c r="G26" s="56">
        <f t="shared" si="0"/>
        <v>92.34</v>
      </c>
      <c r="H26" s="56">
        <f t="shared" si="1"/>
        <v>578.34</v>
      </c>
      <c r="I26" s="48">
        <v>80500</v>
      </c>
      <c r="J26" s="44" t="s">
        <v>193</v>
      </c>
    </row>
    <row r="27" spans="1:10" ht="18.75" customHeight="1" x14ac:dyDescent="0.25">
      <c r="A27" s="40">
        <v>46096</v>
      </c>
      <c r="B27" s="39" t="s">
        <v>127</v>
      </c>
      <c r="C27" s="39" t="s">
        <v>179</v>
      </c>
      <c r="D27" s="38" t="s">
        <v>194</v>
      </c>
      <c r="E27" s="51">
        <v>96</v>
      </c>
      <c r="F27" s="52">
        <v>0.19</v>
      </c>
      <c r="G27" s="53">
        <f t="shared" si="0"/>
        <v>18.240000000000002</v>
      </c>
      <c r="H27" s="53">
        <f t="shared" si="1"/>
        <v>114.24000000000001</v>
      </c>
      <c r="I27" s="42">
        <v>57200</v>
      </c>
      <c r="J27" s="38" t="s">
        <v>195</v>
      </c>
    </row>
    <row r="28" spans="1:10" ht="18.75" customHeight="1" x14ac:dyDescent="0.25">
      <c r="A28" s="46">
        <v>46099</v>
      </c>
      <c r="B28" s="45" t="s">
        <v>92</v>
      </c>
      <c r="C28" s="45" t="s">
        <v>54</v>
      </c>
      <c r="D28" s="44" t="s">
        <v>177</v>
      </c>
      <c r="E28" s="54">
        <v>162.30000000000001</v>
      </c>
      <c r="F28" s="55">
        <v>0.19</v>
      </c>
      <c r="G28" s="56">
        <f t="shared" si="0"/>
        <v>30.837000000000003</v>
      </c>
      <c r="H28" s="56">
        <f t="shared" si="1"/>
        <v>193.137</v>
      </c>
      <c r="I28" s="48">
        <v>144050</v>
      </c>
      <c r="J28" s="44" t="s">
        <v>196</v>
      </c>
    </row>
    <row r="29" spans="1:10" ht="18.75" customHeight="1" x14ac:dyDescent="0.25">
      <c r="A29" s="40">
        <v>46102</v>
      </c>
      <c r="B29" s="39" t="s">
        <v>84</v>
      </c>
      <c r="C29" s="39" t="s">
        <v>54</v>
      </c>
      <c r="D29" s="38" t="s">
        <v>197</v>
      </c>
      <c r="E29" s="51">
        <v>68.2</v>
      </c>
      <c r="F29" s="52">
        <v>0.19</v>
      </c>
      <c r="G29" s="53">
        <f t="shared" si="0"/>
        <v>12.958</v>
      </c>
      <c r="H29" s="53">
        <f t="shared" si="1"/>
        <v>81.158000000000001</v>
      </c>
      <c r="I29" s="42">
        <v>32600</v>
      </c>
      <c r="J29" s="38" t="s">
        <v>198</v>
      </c>
    </row>
    <row r="30" spans="1:10" ht="18.75" customHeight="1" x14ac:dyDescent="0.25">
      <c r="A30" s="46"/>
      <c r="B30" s="45"/>
      <c r="C30" s="45"/>
      <c r="D30" s="44"/>
      <c r="E30" s="54"/>
      <c r="F30" s="55">
        <v>0.19</v>
      </c>
      <c r="G30" s="56" t="str">
        <f t="shared" ref="G30:G44" si="2">IF(E30="","",E30*F30)</f>
        <v/>
      </c>
      <c r="H30" s="56" t="str">
        <f t="shared" ref="H30:H44" si="3">IF(E30="","",E30+G30)</f>
        <v/>
      </c>
      <c r="I30" s="48"/>
      <c r="J30" s="44"/>
    </row>
    <row r="31" spans="1:10" ht="18.75" customHeight="1" x14ac:dyDescent="0.25">
      <c r="A31" s="40"/>
      <c r="B31" s="39"/>
      <c r="C31" s="39"/>
      <c r="D31" s="38"/>
      <c r="E31" s="51"/>
      <c r="F31" s="52">
        <v>0.19</v>
      </c>
      <c r="G31" s="53" t="str">
        <f t="shared" si="2"/>
        <v/>
      </c>
      <c r="H31" s="53" t="str">
        <f t="shared" si="3"/>
        <v/>
      </c>
      <c r="I31" s="42"/>
      <c r="J31" s="38"/>
    </row>
    <row r="32" spans="1:10" ht="18.75" customHeight="1" x14ac:dyDescent="0.25">
      <c r="A32" s="46"/>
      <c r="B32" s="45"/>
      <c r="C32" s="45"/>
      <c r="D32" s="44"/>
      <c r="E32" s="54"/>
      <c r="F32" s="55">
        <v>0.19</v>
      </c>
      <c r="G32" s="56" t="str">
        <f t="shared" si="2"/>
        <v/>
      </c>
      <c r="H32" s="56" t="str">
        <f t="shared" si="3"/>
        <v/>
      </c>
      <c r="I32" s="48"/>
      <c r="J32" s="44"/>
    </row>
    <row r="33" spans="1:10" ht="18.75" customHeight="1" x14ac:dyDescent="0.25">
      <c r="A33" s="40"/>
      <c r="B33" s="39"/>
      <c r="C33" s="39"/>
      <c r="D33" s="38"/>
      <c r="E33" s="51"/>
      <c r="F33" s="52">
        <v>0.19</v>
      </c>
      <c r="G33" s="53" t="str">
        <f t="shared" si="2"/>
        <v/>
      </c>
      <c r="H33" s="53" t="str">
        <f t="shared" si="3"/>
        <v/>
      </c>
      <c r="I33" s="42"/>
      <c r="J33" s="38"/>
    </row>
    <row r="34" spans="1:10" ht="18.75" customHeight="1" x14ac:dyDescent="0.25">
      <c r="A34" s="46"/>
      <c r="B34" s="45"/>
      <c r="C34" s="45"/>
      <c r="D34" s="44"/>
      <c r="E34" s="54"/>
      <c r="F34" s="55">
        <v>0.19</v>
      </c>
      <c r="G34" s="56" t="str">
        <f t="shared" si="2"/>
        <v/>
      </c>
      <c r="H34" s="56" t="str">
        <f t="shared" si="3"/>
        <v/>
      </c>
      <c r="I34" s="48"/>
      <c r="J34" s="44"/>
    </row>
    <row r="35" spans="1:10" ht="18.75" customHeight="1" x14ac:dyDescent="0.25">
      <c r="A35" s="40"/>
      <c r="B35" s="39"/>
      <c r="C35" s="39"/>
      <c r="D35" s="38"/>
      <c r="E35" s="51"/>
      <c r="F35" s="52">
        <v>0.19</v>
      </c>
      <c r="G35" s="53" t="str">
        <f t="shared" si="2"/>
        <v/>
      </c>
      <c r="H35" s="53" t="str">
        <f t="shared" si="3"/>
        <v/>
      </c>
      <c r="I35" s="42"/>
      <c r="J35" s="38"/>
    </row>
    <row r="36" spans="1:10" ht="18.75" customHeight="1" x14ac:dyDescent="0.25">
      <c r="A36" s="46"/>
      <c r="B36" s="45"/>
      <c r="C36" s="45"/>
      <c r="D36" s="44"/>
      <c r="E36" s="54"/>
      <c r="F36" s="55">
        <v>0.19</v>
      </c>
      <c r="G36" s="56" t="str">
        <f t="shared" si="2"/>
        <v/>
      </c>
      <c r="H36" s="56" t="str">
        <f t="shared" si="3"/>
        <v/>
      </c>
      <c r="I36" s="48"/>
      <c r="J36" s="44"/>
    </row>
    <row r="37" spans="1:10" ht="18.75" customHeight="1" x14ac:dyDescent="0.25">
      <c r="A37" s="40"/>
      <c r="B37" s="39"/>
      <c r="C37" s="39"/>
      <c r="D37" s="38"/>
      <c r="E37" s="51"/>
      <c r="F37" s="52">
        <v>0.19</v>
      </c>
      <c r="G37" s="53" t="str">
        <f t="shared" si="2"/>
        <v/>
      </c>
      <c r="H37" s="53" t="str">
        <f t="shared" si="3"/>
        <v/>
      </c>
      <c r="I37" s="42"/>
      <c r="J37" s="38"/>
    </row>
    <row r="38" spans="1:10" ht="18.75" customHeight="1" x14ac:dyDescent="0.25">
      <c r="A38" s="46"/>
      <c r="B38" s="45"/>
      <c r="C38" s="45"/>
      <c r="D38" s="44"/>
      <c r="E38" s="54"/>
      <c r="F38" s="55">
        <v>0.19</v>
      </c>
      <c r="G38" s="56" t="str">
        <f t="shared" si="2"/>
        <v/>
      </c>
      <c r="H38" s="56" t="str">
        <f t="shared" si="3"/>
        <v/>
      </c>
      <c r="I38" s="48"/>
      <c r="J38" s="44"/>
    </row>
    <row r="39" spans="1:10" ht="18.75" customHeight="1" x14ac:dyDescent="0.25">
      <c r="A39" s="40"/>
      <c r="B39" s="39"/>
      <c r="C39" s="39"/>
      <c r="D39" s="38"/>
      <c r="E39" s="51"/>
      <c r="F39" s="52">
        <v>0.19</v>
      </c>
      <c r="G39" s="53" t="str">
        <f t="shared" si="2"/>
        <v/>
      </c>
      <c r="H39" s="53" t="str">
        <f t="shared" si="3"/>
        <v/>
      </c>
      <c r="I39" s="42"/>
      <c r="J39" s="38"/>
    </row>
    <row r="40" spans="1:10" ht="18.75" customHeight="1" x14ac:dyDescent="0.25">
      <c r="A40" s="46"/>
      <c r="B40" s="45"/>
      <c r="C40" s="45"/>
      <c r="D40" s="44"/>
      <c r="E40" s="54"/>
      <c r="F40" s="55">
        <v>0.19</v>
      </c>
      <c r="G40" s="56" t="str">
        <f t="shared" si="2"/>
        <v/>
      </c>
      <c r="H40" s="56" t="str">
        <f t="shared" si="3"/>
        <v/>
      </c>
      <c r="I40" s="48"/>
      <c r="J40" s="44"/>
    </row>
    <row r="41" spans="1:10" ht="18.75" customHeight="1" x14ac:dyDescent="0.25">
      <c r="A41" s="40"/>
      <c r="B41" s="39"/>
      <c r="C41" s="39"/>
      <c r="D41" s="38"/>
      <c r="E41" s="51"/>
      <c r="F41" s="52">
        <v>0.19</v>
      </c>
      <c r="G41" s="53" t="str">
        <f t="shared" si="2"/>
        <v/>
      </c>
      <c r="H41" s="53" t="str">
        <f t="shared" si="3"/>
        <v/>
      </c>
      <c r="I41" s="42"/>
      <c r="J41" s="38"/>
    </row>
    <row r="42" spans="1:10" ht="18.75" customHeight="1" x14ac:dyDescent="0.25">
      <c r="A42" s="46"/>
      <c r="B42" s="45"/>
      <c r="C42" s="45"/>
      <c r="D42" s="44"/>
      <c r="E42" s="54"/>
      <c r="F42" s="55">
        <v>0.19</v>
      </c>
      <c r="G42" s="56" t="str">
        <f t="shared" si="2"/>
        <v/>
      </c>
      <c r="H42" s="56" t="str">
        <f t="shared" si="3"/>
        <v/>
      </c>
      <c r="I42" s="48"/>
      <c r="J42" s="44"/>
    </row>
    <row r="43" spans="1:10" ht="18.75" customHeight="1" x14ac:dyDescent="0.25">
      <c r="A43" s="40"/>
      <c r="B43" s="39"/>
      <c r="C43" s="39"/>
      <c r="D43" s="38"/>
      <c r="E43" s="51"/>
      <c r="F43" s="52">
        <v>0.19</v>
      </c>
      <c r="G43" s="53" t="str">
        <f t="shared" si="2"/>
        <v/>
      </c>
      <c r="H43" s="53" t="str">
        <f t="shared" si="3"/>
        <v/>
      </c>
      <c r="I43" s="42"/>
      <c r="J43" s="38"/>
    </row>
    <row r="44" spans="1:10" ht="18.75" customHeight="1" x14ac:dyDescent="0.25">
      <c r="A44" s="46"/>
      <c r="B44" s="45"/>
      <c r="C44" s="45"/>
      <c r="D44" s="44"/>
      <c r="E44" s="54"/>
      <c r="F44" s="55">
        <v>0.19</v>
      </c>
      <c r="G44" s="56" t="str">
        <f t="shared" si="2"/>
        <v/>
      </c>
      <c r="H44" s="56" t="str">
        <f t="shared" si="3"/>
        <v/>
      </c>
      <c r="I44" s="48"/>
      <c r="J44" s="44"/>
    </row>
    <row r="45" spans="1:10" ht="21.75" customHeight="1" x14ac:dyDescent="0.25">
      <c r="A45" s="57"/>
      <c r="B45" s="57"/>
      <c r="C45" s="57"/>
      <c r="D45" s="58" t="s">
        <v>199</v>
      </c>
      <c r="E45" s="59">
        <f>SUM(E5:E44)</f>
        <v>6321.3499999999995</v>
      </c>
      <c r="F45" s="57"/>
      <c r="G45" s="59">
        <f>SUM(G5:G44)</f>
        <v>1030.8164999999999</v>
      </c>
      <c r="H45" s="59">
        <f>SUM(H5:H44)</f>
        <v>7352.1664999999994</v>
      </c>
      <c r="I45" s="57"/>
      <c r="J45" s="57"/>
    </row>
  </sheetData>
  <autoFilter ref="A4:J44" xr:uid="{00000000-0009-0000-0000-000003000000}"/>
  <mergeCells count="2">
    <mergeCell ref="A1:J1"/>
    <mergeCell ref="A2:J2"/>
  </mergeCells>
  <printOptions horizontalCentered="1"/>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3">
        <x14:dataValidation type="list" allowBlank="1" xr:uid="{00000000-0002-0000-0300-000000000000}">
          <x14:formula1>
            <xm:f>Fahrzeuge!$A$5:$A$22</xm:f>
          </x14:formula1>
          <x14:formula2>
            <xm:f>0</xm:f>
          </x14:formula2>
          <xm:sqref>B5:B44</xm:sqref>
        </x14:dataValidation>
        <x14:dataValidation type="list" allowBlank="1" xr:uid="{00000000-0002-0000-0300-000001000000}">
          <x14:formula1>
            <xm:f>Listen!$E$3:$E$11</xm:f>
          </x14:formula1>
          <x14:formula2>
            <xm:f>0</xm:f>
          </x14:formula2>
          <xm:sqref>C5:C44</xm:sqref>
        </x14:dataValidation>
        <x14:dataValidation type="list" allowBlank="1" xr:uid="{00000000-0002-0000-0300-000002000000}">
          <x14:formula1>
            <xm:f>Listen!$G$3:$G$5</xm:f>
          </x14:formula1>
          <x14:formula2>
            <xm:f>0</xm:f>
          </x14:formula2>
          <xm:sqref>F5:F44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B5461"/>
    <pageSetUpPr fitToPage="1"/>
  </sheetPr>
  <dimension ref="A1:I27"/>
  <sheetViews>
    <sheetView showGridLines="0" zoomScaleNormal="100" workbookViewId="0">
      <pane ySplit="4" topLeftCell="A5" activePane="bottomLeft" state="frozen"/>
      <selection pane="bottomLeft"/>
    </sheetView>
  </sheetViews>
  <sheetFormatPr baseColWidth="10" defaultColWidth="8.7109375" defaultRowHeight="15" x14ac:dyDescent="0.25"/>
  <cols>
    <col min="1" max="1" width="13" customWidth="1"/>
    <col min="2" max="2" width="24" customWidth="1"/>
    <col min="3" max="3" width="16" customWidth="1"/>
    <col min="4" max="4" width="15" customWidth="1"/>
    <col min="5" max="5" width="14" customWidth="1"/>
    <col min="6" max="6" width="18" customWidth="1"/>
    <col min="7" max="7" width="28" customWidth="1"/>
    <col min="9" max="9" width="13" hidden="1" customWidth="1"/>
  </cols>
  <sheetData>
    <row r="1" spans="1:9" ht="33.75" customHeight="1" x14ac:dyDescent="0.25">
      <c r="A1" s="100" t="s">
        <v>200</v>
      </c>
      <c r="B1" s="100"/>
      <c r="C1" s="100"/>
      <c r="D1" s="100"/>
      <c r="E1" s="100"/>
      <c r="F1" s="100"/>
      <c r="G1" s="100"/>
    </row>
    <row r="2" spans="1:9" ht="18" customHeight="1" x14ac:dyDescent="0.25">
      <c r="A2" s="98" t="s">
        <v>201</v>
      </c>
      <c r="B2" s="98"/>
      <c r="C2" s="98"/>
      <c r="D2" s="98"/>
      <c r="E2" s="98"/>
      <c r="F2" s="98"/>
      <c r="G2" s="98"/>
    </row>
    <row r="4" spans="1:9" ht="25.5" customHeight="1" x14ac:dyDescent="0.25">
      <c r="A4" s="36" t="s">
        <v>45</v>
      </c>
      <c r="B4" s="36" t="s">
        <v>46</v>
      </c>
      <c r="C4" s="36" t="s">
        <v>202</v>
      </c>
      <c r="D4" s="36" t="s">
        <v>203</v>
      </c>
      <c r="E4" s="36" t="s">
        <v>204</v>
      </c>
      <c r="F4" s="36" t="s">
        <v>205</v>
      </c>
      <c r="G4" s="36" t="s">
        <v>206</v>
      </c>
      <c r="I4" s="60" t="s">
        <v>207</v>
      </c>
    </row>
    <row r="5" spans="1:9" ht="18.75" customHeight="1" x14ac:dyDescent="0.25">
      <c r="A5" s="39" t="s">
        <v>67</v>
      </c>
      <c r="B5" s="38" t="s">
        <v>208</v>
      </c>
      <c r="C5" s="40">
        <f ca="1">TODAY()+(-8)</f>
        <v>46287</v>
      </c>
      <c r="D5" s="31">
        <f t="shared" ref="D5:D27" ca="1" si="0">IF(C5="","",C5-TODAY())</f>
        <v>-8</v>
      </c>
      <c r="E5" s="61" t="str">
        <f t="shared" ref="E5:E27" ca="1" si="1">IF(C5="","",IF(D5&lt;0,"Überfällig",IF(D5&lt;=30,"Bald fällig","OK")))</f>
        <v>Überfällig</v>
      </c>
      <c r="F5" s="40">
        <f ca="1">TODAY()+(-738)</f>
        <v>45557</v>
      </c>
      <c r="G5" s="38" t="s">
        <v>209</v>
      </c>
      <c r="I5" s="62">
        <f t="shared" ref="I5:I27" ca="1" si="2">IF(C5="",9^9,D5+(ROW()-5)/100000)</f>
        <v>-8</v>
      </c>
    </row>
    <row r="6" spans="1:9" ht="18.75" customHeight="1" x14ac:dyDescent="0.25">
      <c r="A6" s="45" t="s">
        <v>67</v>
      </c>
      <c r="B6" s="44" t="s">
        <v>210</v>
      </c>
      <c r="C6" s="46">
        <f ca="1">TODAY()+(22)</f>
        <v>46317</v>
      </c>
      <c r="D6" s="35">
        <f t="shared" ca="1" si="0"/>
        <v>22</v>
      </c>
      <c r="E6" s="61" t="str">
        <f t="shared" ca="1" si="1"/>
        <v>Bald fällig</v>
      </c>
      <c r="F6" s="45"/>
      <c r="G6" s="44" t="s">
        <v>211</v>
      </c>
      <c r="I6" s="62">
        <f t="shared" ca="1" si="2"/>
        <v>22.00001</v>
      </c>
    </row>
    <row r="7" spans="1:9" ht="18.75" customHeight="1" x14ac:dyDescent="0.25">
      <c r="A7" s="39" t="s">
        <v>78</v>
      </c>
      <c r="B7" s="38" t="s">
        <v>208</v>
      </c>
      <c r="C7" s="40">
        <f ca="1">TODAY()+(180)</f>
        <v>46475</v>
      </c>
      <c r="D7" s="31">
        <f t="shared" ca="1" si="0"/>
        <v>180</v>
      </c>
      <c r="E7" s="61" t="str">
        <f t="shared" ca="1" si="1"/>
        <v>OK</v>
      </c>
      <c r="F7" s="40">
        <f ca="1">TODAY()+(-550)</f>
        <v>45745</v>
      </c>
      <c r="G7" s="38" t="s">
        <v>209</v>
      </c>
      <c r="I7" s="62">
        <f t="shared" ca="1" si="2"/>
        <v>180.00002000000001</v>
      </c>
    </row>
    <row r="8" spans="1:9" ht="18.75" customHeight="1" x14ac:dyDescent="0.25">
      <c r="A8" s="45" t="s">
        <v>78</v>
      </c>
      <c r="B8" s="44" t="s">
        <v>212</v>
      </c>
      <c r="C8" s="46">
        <f ca="1">TODAY()+(47)</f>
        <v>46342</v>
      </c>
      <c r="D8" s="35">
        <f t="shared" ca="1" si="0"/>
        <v>47</v>
      </c>
      <c r="E8" s="61" t="str">
        <f t="shared" ca="1" si="1"/>
        <v>OK</v>
      </c>
      <c r="F8" s="46">
        <f ca="1">TODAY()+(-318)</f>
        <v>45977</v>
      </c>
      <c r="G8" s="44" t="s">
        <v>213</v>
      </c>
      <c r="I8" s="62">
        <f t="shared" ca="1" si="2"/>
        <v>47.000030000000002</v>
      </c>
    </row>
    <row r="9" spans="1:9" ht="18.75" customHeight="1" x14ac:dyDescent="0.25">
      <c r="A9" s="39" t="s">
        <v>84</v>
      </c>
      <c r="B9" s="38" t="s">
        <v>214</v>
      </c>
      <c r="C9" s="40">
        <f ca="1">TODAY()+(14)</f>
        <v>46309</v>
      </c>
      <c r="D9" s="31">
        <f t="shared" ca="1" si="0"/>
        <v>14</v>
      </c>
      <c r="E9" s="61" t="str">
        <f t="shared" ca="1" si="1"/>
        <v>Bald fällig</v>
      </c>
      <c r="F9" s="40">
        <f ca="1">TODAY()+(-351)</f>
        <v>45944</v>
      </c>
      <c r="G9" s="38" t="s">
        <v>213</v>
      </c>
      <c r="I9" s="62">
        <f t="shared" ca="1" si="2"/>
        <v>14.00004</v>
      </c>
    </row>
    <row r="10" spans="1:9" ht="18.75" customHeight="1" x14ac:dyDescent="0.25">
      <c r="A10" s="45" t="s">
        <v>92</v>
      </c>
      <c r="B10" s="44" t="s">
        <v>208</v>
      </c>
      <c r="C10" s="46">
        <f ca="1">TODAY()+(120)</f>
        <v>46415</v>
      </c>
      <c r="D10" s="35">
        <f t="shared" ca="1" si="0"/>
        <v>120</v>
      </c>
      <c r="E10" s="61" t="str">
        <f t="shared" ca="1" si="1"/>
        <v>OK</v>
      </c>
      <c r="F10" s="46">
        <f ca="1">TODAY()+(-610)</f>
        <v>45685</v>
      </c>
      <c r="G10" s="44" t="s">
        <v>209</v>
      </c>
      <c r="I10" s="62">
        <f t="shared" ca="1" si="2"/>
        <v>120.00005</v>
      </c>
    </row>
    <row r="11" spans="1:9" ht="18.75" customHeight="1" x14ac:dyDescent="0.25">
      <c r="A11" s="39" t="s">
        <v>92</v>
      </c>
      <c r="B11" s="38" t="s">
        <v>214</v>
      </c>
      <c r="C11" s="40">
        <f ca="1">TODAY()+(-3)</f>
        <v>46292</v>
      </c>
      <c r="D11" s="31">
        <f t="shared" ca="1" si="0"/>
        <v>-3</v>
      </c>
      <c r="E11" s="61" t="str">
        <f t="shared" ca="1" si="1"/>
        <v>Überfällig</v>
      </c>
      <c r="F11" s="40">
        <f ca="1">TODAY()+(-368)</f>
        <v>45927</v>
      </c>
      <c r="G11" s="38" t="s">
        <v>215</v>
      </c>
      <c r="I11" s="62">
        <f t="shared" ca="1" si="2"/>
        <v>-2.9999400000000001</v>
      </c>
    </row>
    <row r="12" spans="1:9" ht="18.75" customHeight="1" x14ac:dyDescent="0.25">
      <c r="A12" s="45" t="s">
        <v>100</v>
      </c>
      <c r="B12" s="44" t="s">
        <v>208</v>
      </c>
      <c r="C12" s="46">
        <f ca="1">TODAY()+(9)</f>
        <v>46304</v>
      </c>
      <c r="D12" s="35">
        <f t="shared" ca="1" si="0"/>
        <v>9</v>
      </c>
      <c r="E12" s="61" t="str">
        <f t="shared" ca="1" si="1"/>
        <v>Bald fällig</v>
      </c>
      <c r="F12" s="46">
        <f ca="1">TODAY()+(-721)</f>
        <v>45574</v>
      </c>
      <c r="G12" s="44" t="s">
        <v>209</v>
      </c>
      <c r="I12" s="62">
        <f t="shared" ca="1" si="2"/>
        <v>9.0000699999999991</v>
      </c>
    </row>
    <row r="13" spans="1:9" ht="18.75" customHeight="1" x14ac:dyDescent="0.25">
      <c r="A13" s="39" t="s">
        <v>100</v>
      </c>
      <c r="B13" s="38" t="s">
        <v>210</v>
      </c>
      <c r="C13" s="40">
        <f ca="1">TODAY()+(11)</f>
        <v>46306</v>
      </c>
      <c r="D13" s="31">
        <f t="shared" ca="1" si="0"/>
        <v>11</v>
      </c>
      <c r="E13" s="61" t="str">
        <f t="shared" ca="1" si="1"/>
        <v>Bald fällig</v>
      </c>
      <c r="F13" s="39"/>
      <c r="G13" s="38" t="s">
        <v>216</v>
      </c>
      <c r="I13" s="62">
        <f t="shared" ca="1" si="2"/>
        <v>11.000080000000001</v>
      </c>
    </row>
    <row r="14" spans="1:9" ht="18.75" customHeight="1" x14ac:dyDescent="0.25">
      <c r="A14" s="45" t="s">
        <v>107</v>
      </c>
      <c r="B14" s="44" t="s">
        <v>217</v>
      </c>
      <c r="C14" s="46">
        <f ca="1">TODAY()+(73)</f>
        <v>46368</v>
      </c>
      <c r="D14" s="35">
        <f t="shared" ca="1" si="0"/>
        <v>73</v>
      </c>
      <c r="E14" s="61" t="str">
        <f t="shared" ca="1" si="1"/>
        <v>OK</v>
      </c>
      <c r="F14" s="46">
        <f ca="1">TODAY()+(-110)</f>
        <v>46185</v>
      </c>
      <c r="G14" s="44" t="s">
        <v>218</v>
      </c>
      <c r="I14" s="62">
        <f t="shared" ca="1" si="2"/>
        <v>73.00009</v>
      </c>
    </row>
    <row r="15" spans="1:9" ht="18.75" customHeight="1" x14ac:dyDescent="0.25">
      <c r="A15" s="39" t="s">
        <v>113</v>
      </c>
      <c r="B15" s="38" t="s">
        <v>219</v>
      </c>
      <c r="C15" s="40">
        <f ca="1">TODAY()+(28)</f>
        <v>46323</v>
      </c>
      <c r="D15" s="31">
        <f t="shared" ca="1" si="0"/>
        <v>28</v>
      </c>
      <c r="E15" s="61" t="str">
        <f t="shared" ca="1" si="1"/>
        <v>Bald fällig</v>
      </c>
      <c r="F15" s="40">
        <f ca="1">TODAY()+(-160)</f>
        <v>46135</v>
      </c>
      <c r="G15" s="38" t="s">
        <v>220</v>
      </c>
      <c r="I15" s="62">
        <f t="shared" ca="1" si="2"/>
        <v>28.0001</v>
      </c>
    </row>
    <row r="16" spans="1:9" ht="18.75" customHeight="1" x14ac:dyDescent="0.25">
      <c r="A16" s="45" t="s">
        <v>113</v>
      </c>
      <c r="B16" s="44" t="s">
        <v>210</v>
      </c>
      <c r="C16" s="46">
        <f ca="1">TODAY()+(95)</f>
        <v>46390</v>
      </c>
      <c r="D16" s="35">
        <f t="shared" ca="1" si="0"/>
        <v>95</v>
      </c>
      <c r="E16" s="61" t="str">
        <f t="shared" ca="1" si="1"/>
        <v>OK</v>
      </c>
      <c r="F16" s="45"/>
      <c r="G16" s="44" t="s">
        <v>211</v>
      </c>
      <c r="I16" s="62">
        <f t="shared" ca="1" si="2"/>
        <v>95.000110000000006</v>
      </c>
    </row>
    <row r="17" spans="1:9" ht="18.75" customHeight="1" x14ac:dyDescent="0.25">
      <c r="A17" s="39" t="s">
        <v>127</v>
      </c>
      <c r="B17" s="38" t="s">
        <v>212</v>
      </c>
      <c r="C17" s="40">
        <f ca="1">TODAY()+(210)</f>
        <v>46505</v>
      </c>
      <c r="D17" s="31">
        <f t="shared" ca="1" si="0"/>
        <v>210</v>
      </c>
      <c r="E17" s="61" t="str">
        <f t="shared" ca="1" si="1"/>
        <v>OK</v>
      </c>
      <c r="F17" s="40">
        <f ca="1">TODAY()+(-155)</f>
        <v>46140</v>
      </c>
      <c r="G17" s="38" t="s">
        <v>213</v>
      </c>
      <c r="I17" s="62">
        <f t="shared" ca="1" si="2"/>
        <v>210.00012000000001</v>
      </c>
    </row>
    <row r="18" spans="1:9" ht="18.75" customHeight="1" x14ac:dyDescent="0.25">
      <c r="A18" s="45" t="s">
        <v>133</v>
      </c>
      <c r="B18" s="44" t="s">
        <v>214</v>
      </c>
      <c r="C18" s="46">
        <f ca="1">TODAY()+(160)</f>
        <v>46455</v>
      </c>
      <c r="D18" s="35">
        <f t="shared" ca="1" si="0"/>
        <v>160</v>
      </c>
      <c r="E18" s="61" t="str">
        <f t="shared" ca="1" si="1"/>
        <v>OK</v>
      </c>
      <c r="F18" s="46">
        <f ca="1">TODAY()+(-205)</f>
        <v>46090</v>
      </c>
      <c r="G18" s="44" t="s">
        <v>213</v>
      </c>
      <c r="I18" s="62">
        <f t="shared" ca="1" si="2"/>
        <v>160.00013000000001</v>
      </c>
    </row>
    <row r="19" spans="1:9" ht="18.75" customHeight="1" x14ac:dyDescent="0.25">
      <c r="A19" s="39" t="s">
        <v>133</v>
      </c>
      <c r="B19" s="38" t="s">
        <v>221</v>
      </c>
      <c r="C19" s="40">
        <f ca="1">TODAY()+(-1)</f>
        <v>46294</v>
      </c>
      <c r="D19" s="31">
        <f t="shared" ca="1" si="0"/>
        <v>-1</v>
      </c>
      <c r="E19" s="61" t="str">
        <f t="shared" ca="1" si="1"/>
        <v>Überfällig</v>
      </c>
      <c r="F19" s="40">
        <f ca="1">TODAY()+(-92)</f>
        <v>46203</v>
      </c>
      <c r="G19" s="38" t="s">
        <v>222</v>
      </c>
      <c r="I19" s="62">
        <f t="shared" ca="1" si="2"/>
        <v>-0.99985999999999997</v>
      </c>
    </row>
    <row r="20" spans="1:9" ht="18.75" customHeight="1" x14ac:dyDescent="0.25">
      <c r="A20" s="45"/>
      <c r="B20" s="44"/>
      <c r="C20" s="46"/>
      <c r="D20" s="35" t="str">
        <f t="shared" ca="1" si="0"/>
        <v/>
      </c>
      <c r="E20" s="63" t="str">
        <f t="shared" si="1"/>
        <v/>
      </c>
      <c r="F20" s="46"/>
      <c r="G20" s="44"/>
      <c r="I20" s="62">
        <f t="shared" si="2"/>
        <v>387420489</v>
      </c>
    </row>
    <row r="21" spans="1:9" ht="18.75" customHeight="1" x14ac:dyDescent="0.25">
      <c r="A21" s="39"/>
      <c r="B21" s="38"/>
      <c r="C21" s="40"/>
      <c r="D21" s="31" t="str">
        <f t="shared" ca="1" si="0"/>
        <v/>
      </c>
      <c r="E21" s="61" t="str">
        <f t="shared" si="1"/>
        <v/>
      </c>
      <c r="F21" s="40"/>
      <c r="G21" s="38"/>
      <c r="I21" s="62">
        <f t="shared" si="2"/>
        <v>387420489</v>
      </c>
    </row>
    <row r="22" spans="1:9" ht="18.75" customHeight="1" x14ac:dyDescent="0.25">
      <c r="A22" s="45"/>
      <c r="B22" s="44"/>
      <c r="C22" s="46"/>
      <c r="D22" s="35" t="str">
        <f t="shared" ca="1" si="0"/>
        <v/>
      </c>
      <c r="E22" s="63" t="str">
        <f t="shared" si="1"/>
        <v/>
      </c>
      <c r="F22" s="46"/>
      <c r="G22" s="44"/>
      <c r="I22" s="62">
        <f t="shared" si="2"/>
        <v>387420489</v>
      </c>
    </row>
    <row r="23" spans="1:9" ht="18.75" customHeight="1" x14ac:dyDescent="0.25">
      <c r="A23" s="39"/>
      <c r="B23" s="38"/>
      <c r="C23" s="40"/>
      <c r="D23" s="31" t="str">
        <f t="shared" ca="1" si="0"/>
        <v/>
      </c>
      <c r="E23" s="61" t="str">
        <f t="shared" si="1"/>
        <v/>
      </c>
      <c r="F23" s="40"/>
      <c r="G23" s="38"/>
      <c r="I23" s="62">
        <f t="shared" si="2"/>
        <v>387420489</v>
      </c>
    </row>
    <row r="24" spans="1:9" ht="18.75" customHeight="1" x14ac:dyDescent="0.25">
      <c r="A24" s="45"/>
      <c r="B24" s="44"/>
      <c r="C24" s="46"/>
      <c r="D24" s="35" t="str">
        <f t="shared" ca="1" si="0"/>
        <v/>
      </c>
      <c r="E24" s="63" t="str">
        <f t="shared" si="1"/>
        <v/>
      </c>
      <c r="F24" s="46"/>
      <c r="G24" s="44"/>
      <c r="I24" s="62">
        <f t="shared" si="2"/>
        <v>387420489</v>
      </c>
    </row>
    <row r="25" spans="1:9" ht="18.75" customHeight="1" x14ac:dyDescent="0.25">
      <c r="A25" s="39"/>
      <c r="B25" s="38"/>
      <c r="C25" s="40"/>
      <c r="D25" s="31" t="str">
        <f t="shared" ca="1" si="0"/>
        <v/>
      </c>
      <c r="E25" s="61" t="str">
        <f t="shared" si="1"/>
        <v/>
      </c>
      <c r="F25" s="40"/>
      <c r="G25" s="38"/>
      <c r="I25" s="62">
        <f t="shared" si="2"/>
        <v>387420489</v>
      </c>
    </row>
    <row r="26" spans="1:9" ht="18.75" customHeight="1" x14ac:dyDescent="0.25">
      <c r="A26" s="45"/>
      <c r="B26" s="44"/>
      <c r="C26" s="46"/>
      <c r="D26" s="35" t="str">
        <f t="shared" ca="1" si="0"/>
        <v/>
      </c>
      <c r="E26" s="63" t="str">
        <f t="shared" si="1"/>
        <v/>
      </c>
      <c r="F26" s="46"/>
      <c r="G26" s="44"/>
      <c r="I26" s="62">
        <f t="shared" si="2"/>
        <v>387420489</v>
      </c>
    </row>
    <row r="27" spans="1:9" ht="18.75" customHeight="1" x14ac:dyDescent="0.25">
      <c r="A27" s="39"/>
      <c r="B27" s="38"/>
      <c r="C27" s="40"/>
      <c r="D27" s="31" t="str">
        <f t="shared" ca="1" si="0"/>
        <v/>
      </c>
      <c r="E27" s="61" t="str">
        <f t="shared" si="1"/>
        <v/>
      </c>
      <c r="F27" s="40"/>
      <c r="G27" s="38"/>
      <c r="I27" s="62">
        <f t="shared" si="2"/>
        <v>387420489</v>
      </c>
    </row>
  </sheetData>
  <autoFilter ref="A4:G27" xr:uid="{00000000-0009-0000-0000-000004000000}"/>
  <mergeCells count="2">
    <mergeCell ref="A1:G1"/>
    <mergeCell ref="A2:G2"/>
  </mergeCells>
  <conditionalFormatting sqref="D5:D27">
    <cfRule type="cellIs" dxfId="4" priority="5" operator="lessThan">
      <formula>0</formula>
    </cfRule>
    <cfRule type="cellIs" dxfId="3" priority="6" operator="between">
      <formula>0</formula>
      <formula>30</formula>
    </cfRule>
  </conditionalFormatting>
  <conditionalFormatting sqref="E5:E27">
    <cfRule type="cellIs" dxfId="2" priority="2" operator="equal">
      <formula>"Überfällig"</formula>
    </cfRule>
    <cfRule type="cellIs" dxfId="1" priority="3" operator="equal">
      <formula>"Bald fällig"</formula>
    </cfRule>
    <cfRule type="cellIs" dxfId="0" priority="4" operator="equal">
      <formula>"OK"</formula>
    </cfRule>
  </conditionalFormatting>
  <printOptions horizontalCentered="1"/>
  <pageMargins left="0.75" right="0.75" top="1" bottom="1" header="0.511811023622047" footer="0.511811023622047"/>
  <pageSetup fitToHeight="0" orientation="landscape" horizontalDpi="300" verticalDpi="300"/>
  <extLst>
    <ext xmlns:x14="http://schemas.microsoft.com/office/spreadsheetml/2009/9/main" uri="{CCE6A557-97BC-4b89-ADB6-D9C93CAAB3DF}">
      <x14:dataValidations xmlns:xm="http://schemas.microsoft.com/office/excel/2006/main" count="2">
        <x14:dataValidation type="list" allowBlank="1" xr:uid="{00000000-0002-0000-0400-000000000000}">
          <x14:formula1>
            <xm:f>Fahrzeuge!$A$5:$A$22</xm:f>
          </x14:formula1>
          <x14:formula2>
            <xm:f>0</xm:f>
          </x14:formula2>
          <xm:sqref>A5:A27</xm:sqref>
        </x14:dataValidation>
        <x14:dataValidation type="list" allowBlank="1" xr:uid="{00000000-0002-0000-0400-000001000000}">
          <x14:formula1>
            <xm:f>Listen!$F$3:$F$9</xm:f>
          </x14:formula1>
          <x14:formula2>
            <xm:f>0</xm:f>
          </x14:formula2>
          <xm:sqref>B5:B27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E933C"/>
    <pageSetUpPr fitToPage="1"/>
  </sheetPr>
  <dimension ref="B1:G48"/>
  <sheetViews>
    <sheetView showGridLines="0" zoomScaleNormal="100" workbookViewId="0"/>
  </sheetViews>
  <sheetFormatPr baseColWidth="10" defaultColWidth="8.7109375" defaultRowHeight="15" x14ac:dyDescent="0.25"/>
  <cols>
    <col min="1" max="1" width="2.42578125" customWidth="1"/>
    <col min="2" max="2" width="16" customWidth="1"/>
    <col min="3" max="3" width="20" customWidth="1"/>
    <col min="4" max="5" width="15" customWidth="1"/>
    <col min="6" max="7" width="16" customWidth="1"/>
    <col min="8" max="8" width="2.42578125" customWidth="1"/>
  </cols>
  <sheetData>
    <row r="1" spans="2:7" ht="33.75" customHeight="1" x14ac:dyDescent="0.25">
      <c r="B1" s="101" t="s">
        <v>223</v>
      </c>
      <c r="C1" s="101"/>
      <c r="D1" s="101"/>
      <c r="E1" s="101"/>
      <c r="F1" s="101"/>
      <c r="G1" s="101"/>
    </row>
    <row r="2" spans="2:7" ht="18" customHeight="1" x14ac:dyDescent="0.25">
      <c r="B2" s="98" t="s">
        <v>224</v>
      </c>
      <c r="C2" s="98"/>
      <c r="D2" s="98"/>
      <c r="E2" s="98"/>
      <c r="F2" s="98"/>
      <c r="G2" s="98"/>
    </row>
    <row r="4" spans="2:7" ht="17.25" x14ac:dyDescent="0.3">
      <c r="B4" s="87" t="s">
        <v>225</v>
      </c>
      <c r="C4" s="87"/>
      <c r="D4" s="87"/>
      <c r="E4" s="87"/>
      <c r="F4" s="87"/>
      <c r="G4" s="87"/>
    </row>
    <row r="5" spans="2:7" ht="24" customHeight="1" x14ac:dyDescent="0.25">
      <c r="B5" s="27" t="s">
        <v>45</v>
      </c>
      <c r="C5" s="27" t="s">
        <v>226</v>
      </c>
      <c r="D5" s="27" t="s">
        <v>227</v>
      </c>
      <c r="E5" s="27" t="s">
        <v>44</v>
      </c>
      <c r="F5" s="27" t="s">
        <v>228</v>
      </c>
      <c r="G5" s="27" t="s">
        <v>229</v>
      </c>
    </row>
    <row r="6" spans="2:7" x14ac:dyDescent="0.25">
      <c r="B6" s="64" t="s">
        <v>67</v>
      </c>
      <c r="C6" s="28" t="str">
        <f>IFERROR(INDEX(Fahrzeuge!$C$5:$C$22,MATCH(B6,Fahrzeuge!$A$5:$A$22,0))&amp;" "&amp;INDEX(Fahrzeuge!$D$5:$D$22,MATCH(B6,Fahrzeuge!$A$5:$A$22,0)),"")</f>
        <v>VW Passat Variant</v>
      </c>
      <c r="D6" s="65">
        <f>COUNTIF(Betriebskosten!$B$5:$B$44,B6)</f>
        <v>3</v>
      </c>
      <c r="E6" s="66">
        <f>SUMIF(Betriebskosten!$B$5:$B$44,B6,Betriebskosten!$H$5:$H$44)</f>
        <v>748.86700000000008</v>
      </c>
      <c r="F6" s="66">
        <f t="shared" ref="F6:F15" si="0">IFERROR(E6/D6,0)</f>
        <v>249.62233333333336</v>
      </c>
      <c r="G6" s="67">
        <f t="shared" ref="G6:G15" si="1">IFERROR(E6/$E$16,0)</f>
        <v>0.10185664320850187</v>
      </c>
    </row>
    <row r="7" spans="2:7" x14ac:dyDescent="0.25">
      <c r="B7" s="68" t="s">
        <v>78</v>
      </c>
      <c r="C7" s="32" t="str">
        <f>IFERROR(INDEX(Fahrzeuge!$C$5:$C$22,MATCH(B7,Fahrzeuge!$A$5:$A$22,0))&amp;" "&amp;INDEX(Fahrzeuge!$D$5:$D$22,MATCH(B7,Fahrzeuge!$A$5:$A$22,0)),"")</f>
        <v>Mercedes-Benz C 220 d</v>
      </c>
      <c r="D7" s="69">
        <f>COUNTIF(Betriebskosten!$B$5:$B$44,B7)</f>
        <v>3</v>
      </c>
      <c r="E7" s="70">
        <f>SUMIF(Betriebskosten!$B$5:$B$44,B7,Betriebskosten!$H$5:$H$44)</f>
        <v>764.09900000000005</v>
      </c>
      <c r="F7" s="70">
        <f t="shared" si="0"/>
        <v>254.69966666666667</v>
      </c>
      <c r="G7" s="71">
        <f t="shared" si="1"/>
        <v>0.1039284134819308</v>
      </c>
    </row>
    <row r="8" spans="2:7" x14ac:dyDescent="0.25">
      <c r="B8" s="64" t="s">
        <v>84</v>
      </c>
      <c r="C8" s="28" t="str">
        <f>IFERROR(INDEX(Fahrzeuge!$C$5:$C$22,MATCH(B8,Fahrzeuge!$A$5:$A$22,0))&amp;" "&amp;INDEX(Fahrzeuge!$D$5:$D$22,MATCH(B8,Fahrzeuge!$A$5:$A$22,0)),"")</f>
        <v>Audi A4 Avant</v>
      </c>
      <c r="D8" s="65">
        <f>COUNTIF(Betriebskosten!$B$5:$B$44,B8)</f>
        <v>3</v>
      </c>
      <c r="E8" s="66">
        <f>SUMIF(Betriebskosten!$B$5:$B$44,B8,Betriebskosten!$H$5:$H$44)</f>
        <v>536.20799999999997</v>
      </c>
      <c r="F8" s="66">
        <f t="shared" si="0"/>
        <v>178.73599999999999</v>
      </c>
      <c r="G8" s="67">
        <f t="shared" si="1"/>
        <v>7.2931971820823144E-2</v>
      </c>
    </row>
    <row r="9" spans="2:7" ht="25.5" x14ac:dyDescent="0.25">
      <c r="B9" s="68" t="s">
        <v>92</v>
      </c>
      <c r="C9" s="32" t="str">
        <f>IFERROR(INDEX(Fahrzeuge!$C$5:$C$22,MATCH(B9,Fahrzeuge!$A$5:$A$22,0))&amp;" "&amp;INDEX(Fahrzeuge!$D$5:$D$22,MATCH(B9,Fahrzeuge!$A$5:$A$22,0)),"")</f>
        <v>Mercedes-Benz Sprinter 317</v>
      </c>
      <c r="D9" s="69">
        <f>COUNTIF(Betriebskosten!$B$5:$B$44,B9)</f>
        <v>3</v>
      </c>
      <c r="E9" s="70">
        <f>SUMIF(Betriebskosten!$B$5:$B$44,B9,Betriebskosten!$H$5:$H$44)</f>
        <v>1147.279</v>
      </c>
      <c r="F9" s="70">
        <f t="shared" si="0"/>
        <v>382.42633333333333</v>
      </c>
      <c r="G9" s="71">
        <f t="shared" si="1"/>
        <v>0.15604638442287724</v>
      </c>
    </row>
    <row r="10" spans="2:7" x14ac:dyDescent="0.25">
      <c r="B10" s="64" t="s">
        <v>100</v>
      </c>
      <c r="C10" s="28" t="str">
        <f>IFERROR(INDEX(Fahrzeuge!$C$5:$C$22,MATCH(B10,Fahrzeuge!$A$5:$A$22,0))&amp;" "&amp;INDEX(Fahrzeuge!$D$5:$D$22,MATCH(B10,Fahrzeuge!$A$5:$A$22,0)),"")</f>
        <v>VW Transporter T6.1</v>
      </c>
      <c r="D10" s="65">
        <f>COUNTIF(Betriebskosten!$B$5:$B$44,B10)</f>
        <v>2</v>
      </c>
      <c r="E10" s="66">
        <f>SUMIF(Betriebskosten!$B$5:$B$44,B10,Betriebskosten!$H$5:$H$44)</f>
        <v>1699.558</v>
      </c>
      <c r="F10" s="66">
        <f t="shared" si="0"/>
        <v>849.779</v>
      </c>
      <c r="G10" s="67">
        <f t="shared" si="1"/>
        <v>0.231164242539937</v>
      </c>
    </row>
    <row r="11" spans="2:7" x14ac:dyDescent="0.25">
      <c r="B11" s="68" t="s">
        <v>107</v>
      </c>
      <c r="C11" s="32" t="str">
        <f>IFERROR(INDEX(Fahrzeuge!$C$5:$C$22,MATCH(B11,Fahrzeuge!$A$5:$A$22,0))&amp;" "&amp;INDEX(Fahrzeuge!$D$5:$D$22,MATCH(B11,Fahrzeuge!$A$5:$A$22,0)),"")</f>
        <v>Renault Kangoo E-Tech</v>
      </c>
      <c r="D11" s="69">
        <f>COUNTIF(Betriebskosten!$B$5:$B$44,B11)</f>
        <v>2</v>
      </c>
      <c r="E11" s="70">
        <f>SUMIF(Betriebskosten!$B$5:$B$44,B11,Betriebskosten!$H$5:$H$44)</f>
        <v>1132.8800000000001</v>
      </c>
      <c r="F11" s="70">
        <f t="shared" si="0"/>
        <v>566.44000000000005</v>
      </c>
      <c r="G11" s="71">
        <f t="shared" si="1"/>
        <v>0.15408791408627645</v>
      </c>
    </row>
    <row r="12" spans="2:7" ht="25.5" x14ac:dyDescent="0.25">
      <c r="B12" s="64" t="s">
        <v>113</v>
      </c>
      <c r="C12" s="28" t="str">
        <f>IFERROR(INDEX(Fahrzeuge!$C$5:$C$22,MATCH(B12,Fahrzeuge!$A$5:$A$22,0))&amp;" "&amp;INDEX(Fahrzeuge!$D$5:$D$22,MATCH(B12,Fahrzeuge!$A$5:$A$22,0)),"")</f>
        <v>Opel Astra Sports Tourer</v>
      </c>
      <c r="D12" s="65">
        <f>COUNTIF(Betriebskosten!$B$5:$B$44,B12)</f>
        <v>3</v>
      </c>
      <c r="E12" s="66">
        <f>SUMIF(Betriebskosten!$B$5:$B$44,B12,Betriebskosten!$H$5:$H$44)</f>
        <v>422.68799999999999</v>
      </c>
      <c r="F12" s="66">
        <f t="shared" si="0"/>
        <v>140.89599999999999</v>
      </c>
      <c r="G12" s="67">
        <f t="shared" si="1"/>
        <v>5.7491625087652723E-2</v>
      </c>
    </row>
    <row r="13" spans="2:7" x14ac:dyDescent="0.25">
      <c r="B13" s="68" t="s">
        <v>121</v>
      </c>
      <c r="C13" s="32" t="str">
        <f>IFERROR(INDEX(Fahrzeuge!$C$5:$C$22,MATCH(B13,Fahrzeuge!$A$5:$A$22,0))&amp;" "&amp;INDEX(Fahrzeuge!$D$5:$D$22,MATCH(B13,Fahrzeuge!$A$5:$A$22,0)),"")</f>
        <v>Fiat Ducato L2H2</v>
      </c>
      <c r="D13" s="69">
        <f>COUNTIF(Betriebskosten!$B$5:$B$44,B13)</f>
        <v>0</v>
      </c>
      <c r="E13" s="70">
        <f>SUMIF(Betriebskosten!$B$5:$B$44,B13,Betriebskosten!$H$5:$H$44)</f>
        <v>0</v>
      </c>
      <c r="F13" s="70">
        <f t="shared" si="0"/>
        <v>0</v>
      </c>
      <c r="G13" s="71">
        <f t="shared" si="1"/>
        <v>0</v>
      </c>
    </row>
    <row r="14" spans="2:7" x14ac:dyDescent="0.25">
      <c r="B14" s="64" t="s">
        <v>127</v>
      </c>
      <c r="C14" s="28" t="str">
        <f>IFERROR(INDEX(Fahrzeuge!$C$5:$C$22,MATCH(B14,Fahrzeuge!$A$5:$A$22,0))&amp;" "&amp;INDEX(Fahrzeuge!$D$5:$D$22,MATCH(B14,Fahrzeuge!$A$5:$A$22,0)),"")</f>
        <v>BMW 320d Touring</v>
      </c>
      <c r="D14" s="65">
        <f>COUNTIF(Betriebskosten!$B$5:$B$44,B14)</f>
        <v>3</v>
      </c>
      <c r="E14" s="66">
        <f>SUMIF(Betriebskosten!$B$5:$B$44,B14,Betriebskosten!$H$5:$H$44)</f>
        <v>458.51400000000001</v>
      </c>
      <c r="F14" s="66">
        <f t="shared" si="0"/>
        <v>152.83799999999999</v>
      </c>
      <c r="G14" s="67">
        <f t="shared" si="1"/>
        <v>6.2364474471572416E-2</v>
      </c>
    </row>
    <row r="15" spans="2:7" x14ac:dyDescent="0.25">
      <c r="B15" s="68" t="s">
        <v>133</v>
      </c>
      <c r="C15" s="32" t="str">
        <f>IFERROR(INDEX(Fahrzeuge!$C$5:$C$22,MATCH(B15,Fahrzeuge!$A$5:$A$22,0))&amp;" "&amp;INDEX(Fahrzeuge!$D$5:$D$22,MATCH(B15,Fahrzeuge!$A$5:$A$22,0)),"")</f>
        <v>Tesla Model 3</v>
      </c>
      <c r="D15" s="69">
        <f>COUNTIF(Betriebskosten!$B$5:$B$44,B15)</f>
        <v>3</v>
      </c>
      <c r="E15" s="70">
        <f>SUMIF(Betriebskosten!$B$5:$B$44,B15,Betriebskosten!$H$5:$H$44)</f>
        <v>442.07349999999997</v>
      </c>
      <c r="F15" s="70">
        <f t="shared" si="0"/>
        <v>147.35783333333333</v>
      </c>
      <c r="G15" s="71">
        <f t="shared" si="1"/>
        <v>6.0128330880428224E-2</v>
      </c>
    </row>
    <row r="16" spans="2:7" ht="21.75" customHeight="1" x14ac:dyDescent="0.25">
      <c r="B16" s="72" t="s">
        <v>230</v>
      </c>
      <c r="C16" s="73"/>
      <c r="D16" s="72">
        <f>SUM(D6:D15)</f>
        <v>25</v>
      </c>
      <c r="E16" s="74">
        <f>SUM(E6:E15)</f>
        <v>7352.1665000000012</v>
      </c>
      <c r="F16" s="73"/>
      <c r="G16" s="73"/>
    </row>
    <row r="19" spans="2:7" ht="17.25" x14ac:dyDescent="0.3">
      <c r="B19" s="87" t="s">
        <v>231</v>
      </c>
      <c r="C19" s="87"/>
      <c r="D19" s="87"/>
      <c r="E19" s="87"/>
      <c r="F19" s="87"/>
      <c r="G19" s="87"/>
    </row>
    <row r="20" spans="2:7" ht="24" customHeight="1" x14ac:dyDescent="0.25">
      <c r="B20" s="27" t="s">
        <v>43</v>
      </c>
      <c r="C20" s="27" t="s">
        <v>44</v>
      </c>
      <c r="D20" s="27" t="s">
        <v>229</v>
      </c>
    </row>
    <row r="21" spans="2:7" x14ac:dyDescent="0.25">
      <c r="B21" s="28" t="s">
        <v>54</v>
      </c>
      <c r="C21" s="66">
        <f>SUMIF(Betriebskosten!$C$5:$C$44,B21,Betriebskosten!$H$5:$H$44)</f>
        <v>1509.9314999999999</v>
      </c>
      <c r="D21" s="75">
        <f t="shared" ref="D21:D29" si="2">IFERROR(C21/$C$30,0)</f>
        <v>0.20537232120627302</v>
      </c>
    </row>
    <row r="22" spans="2:7" x14ac:dyDescent="0.25">
      <c r="B22" s="32" t="s">
        <v>151</v>
      </c>
      <c r="C22" s="70">
        <f>SUMIF(Betriebskosten!$C$5:$C$44,B22,Betriebskosten!$H$5:$H$44)</f>
        <v>1242.9549999999999</v>
      </c>
      <c r="D22" s="76">
        <f t="shared" si="2"/>
        <v>0.16905969145285271</v>
      </c>
    </row>
    <row r="23" spans="2:7" x14ac:dyDescent="0.25">
      <c r="B23" s="28" t="s">
        <v>158</v>
      </c>
      <c r="C23" s="66">
        <f>SUMIF(Betriebskosten!$C$5:$C$44,B23,Betriebskosten!$H$5:$H$44)</f>
        <v>2101.54</v>
      </c>
      <c r="D23" s="75">
        <f t="shared" si="2"/>
        <v>0.28583955491214735</v>
      </c>
    </row>
    <row r="24" spans="2:7" x14ac:dyDescent="0.25">
      <c r="B24" s="32" t="s">
        <v>161</v>
      </c>
      <c r="C24" s="70">
        <f>SUMIF(Betriebskosten!$C$5:$C$44,B24,Betriebskosten!$H$5:$H$44)</f>
        <v>700</v>
      </c>
      <c r="D24" s="76">
        <f t="shared" si="2"/>
        <v>9.5210030948020566E-2</v>
      </c>
    </row>
    <row r="25" spans="2:7" x14ac:dyDescent="0.25">
      <c r="B25" s="28" t="s">
        <v>164</v>
      </c>
      <c r="C25" s="66">
        <f>SUMIF(Betriebskosten!$C$5:$C$44,B25,Betriebskosten!$H$5:$H$44)</f>
        <v>196</v>
      </c>
      <c r="D25" s="75">
        <f t="shared" si="2"/>
        <v>2.665880866544576E-2</v>
      </c>
    </row>
    <row r="26" spans="2:7" x14ac:dyDescent="0.25">
      <c r="B26" s="32" t="s">
        <v>170</v>
      </c>
      <c r="C26" s="70">
        <f>SUMIF(Betriebskosten!$C$5:$C$44,B26,Betriebskosten!$H$5:$H$44)</f>
        <v>462.90999999999997</v>
      </c>
      <c r="D26" s="76">
        <f t="shared" si="2"/>
        <v>6.2962393465925998E-2</v>
      </c>
    </row>
    <row r="27" spans="2:7" x14ac:dyDescent="0.25">
      <c r="B27" s="28" t="s">
        <v>167</v>
      </c>
      <c r="C27" s="66">
        <f>SUMIF(Betriebskosten!$C$5:$C$44,B27,Betriebskosten!$H$5:$H$44)</f>
        <v>996.03</v>
      </c>
      <c r="D27" s="75">
        <f t="shared" si="2"/>
        <v>0.13547435303593847</v>
      </c>
    </row>
    <row r="28" spans="2:7" x14ac:dyDescent="0.25">
      <c r="B28" s="32" t="s">
        <v>179</v>
      </c>
      <c r="C28" s="70">
        <f>SUMIF(Betriebskosten!$C$5:$C$44,B28,Betriebskosten!$H$5:$H$44)</f>
        <v>142.80000000000001</v>
      </c>
      <c r="D28" s="76">
        <f t="shared" si="2"/>
        <v>1.9422846313396198E-2</v>
      </c>
    </row>
    <row r="29" spans="2:7" x14ac:dyDescent="0.25">
      <c r="B29" s="28" t="s">
        <v>232</v>
      </c>
      <c r="C29" s="66">
        <f>SUMIF(Betriebskosten!$C$5:$C$44,B29,Betriebskosten!$H$5:$H$44)</f>
        <v>0</v>
      </c>
      <c r="D29" s="75">
        <f t="shared" si="2"/>
        <v>0</v>
      </c>
    </row>
    <row r="30" spans="2:7" ht="21.75" customHeight="1" x14ac:dyDescent="0.25">
      <c r="B30" s="72" t="s">
        <v>230</v>
      </c>
      <c r="C30" s="74">
        <f>SUM(C21:C29)</f>
        <v>7352.1664999999994</v>
      </c>
      <c r="D30" s="73"/>
    </row>
    <row r="33" spans="2:7" ht="17.25" x14ac:dyDescent="0.3">
      <c r="B33" s="87" t="s">
        <v>233</v>
      </c>
      <c r="C33" s="87"/>
      <c r="D33" s="87"/>
      <c r="E33" s="87"/>
      <c r="F33" s="87"/>
      <c r="G33" s="87"/>
    </row>
    <row r="34" spans="2:7" ht="30" customHeight="1" x14ac:dyDescent="0.25">
      <c r="B34" s="102" t="s">
        <v>234</v>
      </c>
      <c r="C34" s="102"/>
      <c r="D34" s="102"/>
      <c r="E34" s="102"/>
      <c r="F34" s="102"/>
      <c r="G34" s="102"/>
    </row>
    <row r="35" spans="2:7" ht="25.5" customHeight="1" x14ac:dyDescent="0.25">
      <c r="B35" s="27" t="s">
        <v>45</v>
      </c>
      <c r="C35" s="27" t="s">
        <v>64</v>
      </c>
      <c r="D35" s="27" t="s">
        <v>235</v>
      </c>
      <c r="E35" s="27" t="s">
        <v>236</v>
      </c>
      <c r="F35" s="27" t="s">
        <v>237</v>
      </c>
      <c r="G35" s="27" t="s">
        <v>238</v>
      </c>
    </row>
    <row r="36" spans="2:7" x14ac:dyDescent="0.25">
      <c r="B36" s="64" t="s">
        <v>67</v>
      </c>
      <c r="C36" s="66">
        <f>Fahrzeuge!O5</f>
        <v>389</v>
      </c>
      <c r="D36" s="66">
        <f>IFERROR(MAX(0,(Fahrzeuge!M5-Fahrzeuge!N5))/(IF(AND(Fahrzeuge!I5&lt;&gt;"",Fahrzeuge!G5&lt;&gt;""),MAX(1,(Fahrzeuge!I5-Fahrzeuge!G5)/30.4),48)),0)</f>
        <v>685.73515981735147</v>
      </c>
      <c r="E36" s="66">
        <f>IFERROR(SUMIF(Betriebskosten!$B$5:$B$44,B36,Betriebskosten!$H$5:$H$44)/(MAX(1,(MAX(Betriebskosten!$A$5:$A$44)-MIN(Betriebskosten!$A$5:$A$44))/30)),0)</f>
        <v>312.02791666666673</v>
      </c>
      <c r="F36" s="77">
        <f t="shared" ref="F36:F45" si="3">C36+D36+E36</f>
        <v>1386.763076484018</v>
      </c>
      <c r="G36" s="29">
        <f t="shared" ref="G36:G45" si="4">F36*12</f>
        <v>16641.156917808217</v>
      </c>
    </row>
    <row r="37" spans="2:7" x14ac:dyDescent="0.25">
      <c r="B37" s="68" t="s">
        <v>78</v>
      </c>
      <c r="C37" s="70">
        <f>Fahrzeuge!O6</f>
        <v>465</v>
      </c>
      <c r="D37" s="70">
        <f>IFERROR(MAX(0,(Fahrzeuge!M6-Fahrzeuge!N6))/(IF(AND(Fahrzeuge!I6&lt;&gt;"",Fahrzeuge!G6&lt;&gt;""),MAX(1,(Fahrzeuge!I6-Fahrzeuge!G6)/30.4),48)),0)</f>
        <v>660.05479452054794</v>
      </c>
      <c r="E37" s="70">
        <f>IFERROR(SUMIF(Betriebskosten!$B$5:$B$44,B37,Betriebskosten!$H$5:$H$44)/(MAX(1,(MAX(Betriebskosten!$A$5:$A$44)-MIN(Betriebskosten!$A$5:$A$44))/30)),0)</f>
        <v>318.37458333333336</v>
      </c>
      <c r="F37" s="78">
        <f t="shared" si="3"/>
        <v>1443.4293778538813</v>
      </c>
      <c r="G37" s="33">
        <f t="shared" si="4"/>
        <v>17321.152534246576</v>
      </c>
    </row>
    <row r="38" spans="2:7" x14ac:dyDescent="0.25">
      <c r="B38" s="64" t="s">
        <v>84</v>
      </c>
      <c r="C38" s="66">
        <f>Fahrzeuge!O7</f>
        <v>0</v>
      </c>
      <c r="D38" s="66">
        <f>IFERROR(MAX(0,(Fahrzeuge!M7-Fahrzeuge!N7))/(IF(AND(Fahrzeuge!I7&lt;&gt;"",Fahrzeuge!G7&lt;&gt;""),MAX(1,(Fahrzeuge!I7-Fahrzeuge!G7)/30.4),48)),0)</f>
        <v>560.10958904109589</v>
      </c>
      <c r="E38" s="66">
        <f>IFERROR(SUMIF(Betriebskosten!$B$5:$B$44,B38,Betriebskosten!$H$5:$H$44)/(MAX(1,(MAX(Betriebskosten!$A$5:$A$44)-MIN(Betriebskosten!$A$5:$A$44))/30)),0)</f>
        <v>223.42</v>
      </c>
      <c r="F38" s="77">
        <f t="shared" si="3"/>
        <v>783.52958904109585</v>
      </c>
      <c r="G38" s="29">
        <f t="shared" si="4"/>
        <v>9402.3550684931506</v>
      </c>
    </row>
    <row r="39" spans="2:7" x14ac:dyDescent="0.25">
      <c r="B39" s="68" t="s">
        <v>92</v>
      </c>
      <c r="C39" s="70">
        <f>Fahrzeuge!O8</f>
        <v>0</v>
      </c>
      <c r="D39" s="70">
        <f>IFERROR(MAX(0,(Fahrzeuge!M8-Fahrzeuge!N8))/(IF(AND(Fahrzeuge!I8&lt;&gt;"",Fahrzeuge!G8&lt;&gt;""),MAX(1,(Fahrzeuge!I8-Fahrzeuge!G8)/30.4),48)),0)</f>
        <v>975</v>
      </c>
      <c r="E39" s="70">
        <f>IFERROR(SUMIF(Betriebskosten!$B$5:$B$44,B39,Betriebskosten!$H$5:$H$44)/(MAX(1,(MAX(Betriebskosten!$A$5:$A$44)-MIN(Betriebskosten!$A$5:$A$44))/30)),0)</f>
        <v>478.03291666666667</v>
      </c>
      <c r="F39" s="78">
        <f t="shared" si="3"/>
        <v>1453.0329166666666</v>
      </c>
      <c r="G39" s="33">
        <f t="shared" si="4"/>
        <v>17436.394999999997</v>
      </c>
    </row>
    <row r="40" spans="2:7" x14ac:dyDescent="0.25">
      <c r="B40" s="64" t="s">
        <v>100</v>
      </c>
      <c r="C40" s="66">
        <f>Fahrzeuge!O9</f>
        <v>342</v>
      </c>
      <c r="D40" s="66">
        <f>IFERROR(MAX(0,(Fahrzeuge!M9-Fahrzeuge!N9))/(IF(AND(Fahrzeuge!I9&lt;&gt;"",Fahrzeuge!G9&lt;&gt;""),MAX(1,(Fahrzeuge!I9-Fahrzeuge!G9)/30.4),48)),0)</f>
        <v>510.13698630136986</v>
      </c>
      <c r="E40" s="66">
        <f>IFERROR(SUMIF(Betriebskosten!$B$5:$B$44,B40,Betriebskosten!$H$5:$H$44)/(MAX(1,(MAX(Betriebskosten!$A$5:$A$44)-MIN(Betriebskosten!$A$5:$A$44))/30)),0)</f>
        <v>708.1491666666667</v>
      </c>
      <c r="F40" s="77">
        <f t="shared" si="3"/>
        <v>1560.2861529680367</v>
      </c>
      <c r="G40" s="29">
        <f t="shared" si="4"/>
        <v>18723.433835616441</v>
      </c>
    </row>
    <row r="41" spans="2:7" x14ac:dyDescent="0.25">
      <c r="B41" s="68" t="s">
        <v>107</v>
      </c>
      <c r="C41" s="70">
        <f>Fahrzeuge!O10</f>
        <v>298</v>
      </c>
      <c r="D41" s="70">
        <f>IFERROR(MAX(0,(Fahrzeuge!M10-Fahrzeuge!N10))/(IF(AND(Fahrzeuge!I10&lt;&gt;"",Fahrzeuge!G10&lt;&gt;""),MAX(1,(Fahrzeuge!I10-Fahrzeuge!G10)/30.4),48)),0)</f>
        <v>566.87385740402192</v>
      </c>
      <c r="E41" s="70">
        <f>IFERROR(SUMIF(Betriebskosten!$B$5:$B$44,B41,Betriebskosten!$H$5:$H$44)/(MAX(1,(MAX(Betriebskosten!$A$5:$A$44)-MIN(Betriebskosten!$A$5:$A$44))/30)),0)</f>
        <v>472.03333333333342</v>
      </c>
      <c r="F41" s="78">
        <f t="shared" si="3"/>
        <v>1336.9071907373554</v>
      </c>
      <c r="G41" s="33">
        <f t="shared" si="4"/>
        <v>16042.886288848265</v>
      </c>
    </row>
    <row r="42" spans="2:7" x14ac:dyDescent="0.25">
      <c r="B42" s="64" t="s">
        <v>113</v>
      </c>
      <c r="C42" s="66">
        <f>Fahrzeuge!O11</f>
        <v>276</v>
      </c>
      <c r="D42" s="66">
        <f>IFERROR(MAX(0,(Fahrzeuge!M11-Fahrzeuge!N11))/(IF(AND(Fahrzeuge!I11&lt;&gt;"",Fahrzeuge!G11&lt;&gt;""),MAX(1,(Fahrzeuge!I11-Fahrzeuge!G11)/30.4),48)),0)</f>
        <v>488.62100456620999</v>
      </c>
      <c r="E42" s="66">
        <f>IFERROR(SUMIF(Betriebskosten!$B$5:$B$44,B42,Betriebskosten!$H$5:$H$44)/(MAX(1,(MAX(Betriebskosten!$A$5:$A$44)-MIN(Betriebskosten!$A$5:$A$44))/30)),0)</f>
        <v>176.12</v>
      </c>
      <c r="F42" s="77">
        <f t="shared" si="3"/>
        <v>940.74100456620999</v>
      </c>
      <c r="G42" s="29">
        <f t="shared" si="4"/>
        <v>11288.89205479452</v>
      </c>
    </row>
    <row r="43" spans="2:7" x14ac:dyDescent="0.25">
      <c r="B43" s="68" t="s">
        <v>121</v>
      </c>
      <c r="C43" s="70">
        <f>Fahrzeuge!O12</f>
        <v>0</v>
      </c>
      <c r="D43" s="70">
        <f>IFERROR(MAX(0,(Fahrzeuge!M12-Fahrzeuge!N12))/(IF(AND(Fahrzeuge!I12&lt;&gt;"",Fahrzeuge!G12&lt;&gt;""),MAX(1,(Fahrzeuge!I12-Fahrzeuge!G12)/30.4),48)),0)</f>
        <v>800</v>
      </c>
      <c r="E43" s="70">
        <f>IFERROR(SUMIF(Betriebskosten!$B$5:$B$44,B43,Betriebskosten!$H$5:$H$44)/(MAX(1,(MAX(Betriebskosten!$A$5:$A$44)-MIN(Betriebskosten!$A$5:$A$44))/30)),0)</f>
        <v>0</v>
      </c>
      <c r="F43" s="78">
        <f t="shared" si="3"/>
        <v>800</v>
      </c>
      <c r="G43" s="33">
        <f t="shared" si="4"/>
        <v>9600</v>
      </c>
    </row>
    <row r="44" spans="2:7" x14ac:dyDescent="0.25">
      <c r="B44" s="64" t="s">
        <v>127</v>
      </c>
      <c r="C44" s="66">
        <f>Fahrzeuge!O13</f>
        <v>418</v>
      </c>
      <c r="D44" s="66">
        <f>IFERROR(MAX(0,(Fahrzeuge!M13-Fahrzeuge!N13))/(IF(AND(Fahrzeuge!I13&lt;&gt;"",Fahrzeuge!G13&lt;&gt;""),MAX(1,(Fahrzeuge!I13-Fahrzeuge!G13)/30.4),48)),0)</f>
        <v>572.60273972602738</v>
      </c>
      <c r="E44" s="66">
        <f>IFERROR(SUMIF(Betriebskosten!$B$5:$B$44,B44,Betriebskosten!$H$5:$H$44)/(MAX(1,(MAX(Betriebskosten!$A$5:$A$44)-MIN(Betriebskosten!$A$5:$A$44))/30)),0)</f>
        <v>191.04750000000001</v>
      </c>
      <c r="F44" s="77">
        <f t="shared" si="3"/>
        <v>1181.6502397260274</v>
      </c>
      <c r="G44" s="29">
        <f t="shared" si="4"/>
        <v>14179.802876712329</v>
      </c>
    </row>
    <row r="45" spans="2:7" x14ac:dyDescent="0.25">
      <c r="B45" s="68" t="s">
        <v>133</v>
      </c>
      <c r="C45" s="70">
        <f>Fahrzeuge!O14</f>
        <v>512</v>
      </c>
      <c r="D45" s="70">
        <f>IFERROR(MAX(0,(Fahrzeuge!M14-Fahrzeuge!N14))/(IF(AND(Fahrzeuge!I14&lt;&gt;"",Fahrzeuge!G14&lt;&gt;""),MAX(1,(Fahrzeuge!I14-Fahrzeuge!G14)/30.4),48)),0)</f>
        <v>487.23287671232873</v>
      </c>
      <c r="E45" s="70">
        <f>IFERROR(SUMIF(Betriebskosten!$B$5:$B$44,B45,Betriebskosten!$H$5:$H$44)/(MAX(1,(MAX(Betriebskosten!$A$5:$A$44)-MIN(Betriebskosten!$A$5:$A$44))/30)),0)</f>
        <v>184.19729166666667</v>
      </c>
      <c r="F45" s="78">
        <f t="shared" si="3"/>
        <v>1183.4301683789954</v>
      </c>
      <c r="G45" s="33">
        <f t="shared" si="4"/>
        <v>14201.162020547945</v>
      </c>
    </row>
    <row r="46" spans="2:7" ht="21.75" customHeight="1" x14ac:dyDescent="0.25">
      <c r="B46" s="72" t="s">
        <v>239</v>
      </c>
      <c r="C46" s="74">
        <f>SUM(C36:C45)</f>
        <v>2700</v>
      </c>
      <c r="D46" s="74">
        <f>SUM(D36:D45)</f>
        <v>6306.3670080889533</v>
      </c>
      <c r="E46" s="74">
        <f>SUM(E36:E45)</f>
        <v>3063.4027083333335</v>
      </c>
      <c r="F46" s="74">
        <f>SUM(F36:F45)</f>
        <v>12069.769716422288</v>
      </c>
      <c r="G46" s="79">
        <f>SUM(G36:G45)</f>
        <v>144837.23659706744</v>
      </c>
    </row>
    <row r="48" spans="2:7" ht="30" customHeight="1" x14ac:dyDescent="0.25">
      <c r="B48" s="91" t="s">
        <v>240</v>
      </c>
      <c r="C48" s="91"/>
      <c r="D48" s="91"/>
      <c r="E48" s="91"/>
      <c r="F48" s="91"/>
      <c r="G48" s="91"/>
    </row>
  </sheetData>
  <mergeCells count="7">
    <mergeCell ref="B34:G34"/>
    <mergeCell ref="B48:G48"/>
    <mergeCell ref="B1:G1"/>
    <mergeCell ref="B2:G2"/>
    <mergeCell ref="B4:G4"/>
    <mergeCell ref="B19:G19"/>
    <mergeCell ref="B33:G33"/>
  </mergeCells>
  <conditionalFormatting sqref="C21:C29">
    <cfRule type="colorScale" priority="3">
      <colorScale>
        <cfvo type="min"/>
        <cfvo type="max"/>
        <color rgb="FFEDF6F9"/>
        <color rgb="FFFFA62B"/>
      </colorScale>
    </cfRule>
  </conditionalFormatting>
  <conditionalFormatting sqref="E6:E15">
    <cfRule type="colorScale" priority="2">
      <colorScale>
        <cfvo type="min"/>
        <cfvo type="max"/>
        <color rgb="FFEDF6F9"/>
        <color rgb="FF489FB5"/>
      </colorScale>
    </cfRule>
  </conditionalFormatting>
  <printOptions horizontalCentered="1"/>
  <pageMargins left="0.75" right="0.75" top="1" bottom="1" header="0.511811023622047" footer="0.511811023622047"/>
  <pageSetup fitToHeight="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AAAAAA"/>
  </sheetPr>
  <dimension ref="A1:G11"/>
  <sheetViews>
    <sheetView zoomScaleNormal="100" workbookViewId="0"/>
  </sheetViews>
  <sheetFormatPr baseColWidth="10" defaultColWidth="8.7109375" defaultRowHeight="15" x14ac:dyDescent="0.25"/>
  <sheetData>
    <row r="1" spans="1:7" x14ac:dyDescent="0.25">
      <c r="A1" s="80" t="s">
        <v>241</v>
      </c>
    </row>
    <row r="2" spans="1:7" x14ac:dyDescent="0.25">
      <c r="A2" s="81" t="s">
        <v>66</v>
      </c>
      <c r="B2" s="81" t="s">
        <v>54</v>
      </c>
      <c r="C2" s="81" t="s">
        <v>55</v>
      </c>
      <c r="D2" s="81" t="s">
        <v>57</v>
      </c>
      <c r="E2" s="81" t="s">
        <v>43</v>
      </c>
      <c r="F2" s="81" t="s">
        <v>46</v>
      </c>
      <c r="G2" s="81" t="s">
        <v>242</v>
      </c>
    </row>
    <row r="3" spans="1:7" x14ac:dyDescent="0.25">
      <c r="A3" t="s">
        <v>77</v>
      </c>
      <c r="B3" t="s">
        <v>71</v>
      </c>
      <c r="C3" t="s">
        <v>72</v>
      </c>
      <c r="D3" t="s">
        <v>73</v>
      </c>
      <c r="E3" t="s">
        <v>54</v>
      </c>
      <c r="F3" t="s">
        <v>208</v>
      </c>
      <c r="G3">
        <v>0.19</v>
      </c>
    </row>
    <row r="4" spans="1:7" x14ac:dyDescent="0.25">
      <c r="A4" t="s">
        <v>106</v>
      </c>
      <c r="B4" t="s">
        <v>117</v>
      </c>
      <c r="C4" t="s">
        <v>118</v>
      </c>
      <c r="D4" t="s">
        <v>96</v>
      </c>
      <c r="E4" t="s">
        <v>151</v>
      </c>
      <c r="F4" t="s">
        <v>214</v>
      </c>
      <c r="G4">
        <v>7.0000000000000007E-2</v>
      </c>
    </row>
    <row r="5" spans="1:7" x14ac:dyDescent="0.25">
      <c r="A5" t="s">
        <v>126</v>
      </c>
      <c r="B5" t="s">
        <v>111</v>
      </c>
      <c r="C5" t="s">
        <v>95</v>
      </c>
      <c r="D5" t="s">
        <v>89</v>
      </c>
      <c r="E5" t="s">
        <v>158</v>
      </c>
      <c r="F5" t="s">
        <v>212</v>
      </c>
      <c r="G5">
        <v>0</v>
      </c>
    </row>
    <row r="6" spans="1:7" x14ac:dyDescent="0.25">
      <c r="A6" t="s">
        <v>243</v>
      </c>
      <c r="B6" t="s">
        <v>88</v>
      </c>
      <c r="C6" t="s">
        <v>103</v>
      </c>
      <c r="D6" t="s">
        <v>244</v>
      </c>
      <c r="E6" t="s">
        <v>161</v>
      </c>
      <c r="F6" t="s">
        <v>219</v>
      </c>
    </row>
    <row r="7" spans="1:7" x14ac:dyDescent="0.25">
      <c r="B7" t="s">
        <v>245</v>
      </c>
      <c r="C7" t="s">
        <v>246</v>
      </c>
      <c r="E7" t="s">
        <v>164</v>
      </c>
      <c r="F7" t="s">
        <v>217</v>
      </c>
    </row>
    <row r="8" spans="1:7" x14ac:dyDescent="0.25">
      <c r="B8" t="s">
        <v>247</v>
      </c>
      <c r="E8" t="s">
        <v>170</v>
      </c>
      <c r="F8" t="s">
        <v>210</v>
      </c>
    </row>
    <row r="9" spans="1:7" x14ac:dyDescent="0.25">
      <c r="E9" t="s">
        <v>167</v>
      </c>
      <c r="F9" t="s">
        <v>221</v>
      </c>
    </row>
    <row r="10" spans="1:7" x14ac:dyDescent="0.25">
      <c r="E10" t="s">
        <v>179</v>
      </c>
    </row>
    <row r="11" spans="1:7" x14ac:dyDescent="0.25">
      <c r="E11" t="s">
        <v>232</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Anleitung</vt:lpstr>
      <vt:lpstr>Dashboard</vt:lpstr>
      <vt:lpstr>Fahrzeuge</vt:lpstr>
      <vt:lpstr>Betriebskosten</vt:lpstr>
      <vt:lpstr>Termine</vt:lpstr>
      <vt:lpstr>Auswertung</vt:lpstr>
      <vt:lpstr>Listen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Sergio Jiménez Canales</cp:lastModifiedBy>
  <cp:revision>0</cp:revision>
  <dcterms:created xsi:type="dcterms:W3CDTF">2026-09-29T08:23:39Z</dcterms:created>
  <dcterms:modified xsi:type="dcterms:W3CDTF">2026-09-30T05:58:53Z</dcterms:modified>
  <dc:language>en-US</dc:language>
</cp:coreProperties>
</file>