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BEB6B3EA-2BB5-40CD-BB38-F597A7CA4092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Kassenbuch" sheetId="1" r:id="rId1"/>
    <sheet name="Jahresübersicht" sheetId="2" r:id="rId2"/>
    <sheet name="Kategorien" sheetId="3" r:id="rId3"/>
  </sheets>
  <definedNames>
    <definedName name="_xlnm.Print_Area" localSheetId="1">Jahresübersicht!$A$1:$H$49</definedName>
    <definedName name="_xlnm.Print_Titles" localSheetId="1">Jahresübersicht!$1:$2</definedName>
    <definedName name="_xlnm.Print_Titles" localSheetId="0">Kassenbuch!$1:$4</definedName>
    <definedName name="KAT_ALLE">Kategorien!$A$5:$A$22</definedName>
    <definedName name="ZAHLARTEN">Kategorien!$D$5:$D$10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2" i="2" l="1"/>
  <c r="H32" i="2" s="1"/>
  <c r="G31" i="2"/>
  <c r="H31" i="2" s="1"/>
  <c r="G30" i="2"/>
  <c r="H30" i="2" s="1"/>
  <c r="H29" i="2"/>
  <c r="G29" i="2"/>
  <c r="G28" i="2"/>
  <c r="H28" i="2" s="1"/>
  <c r="G27" i="2"/>
  <c r="H27" i="2" s="1"/>
  <c r="G26" i="2"/>
  <c r="H26" i="2" s="1"/>
  <c r="G25" i="2"/>
  <c r="H25" i="2" s="1"/>
  <c r="G24" i="2"/>
  <c r="G33" i="2" s="1"/>
  <c r="G23" i="2"/>
  <c r="H23" i="2" s="1"/>
  <c r="C23" i="2"/>
  <c r="B23" i="2"/>
  <c r="D23" i="2" s="1"/>
  <c r="A23" i="2"/>
  <c r="A22" i="2"/>
  <c r="C22" i="2" s="1"/>
  <c r="A21" i="2"/>
  <c r="C21" i="2" s="1"/>
  <c r="A20" i="2"/>
  <c r="C20" i="2" s="1"/>
  <c r="G19" i="2"/>
  <c r="H19" i="2" s="1"/>
  <c r="A19" i="2"/>
  <c r="C19" i="2" s="1"/>
  <c r="G18" i="2"/>
  <c r="H18" i="2" s="1"/>
  <c r="A18" i="2"/>
  <c r="C18" i="2" s="1"/>
  <c r="H17" i="2"/>
  <c r="G17" i="2"/>
  <c r="A17" i="2"/>
  <c r="C17" i="2" s="1"/>
  <c r="G16" i="2"/>
  <c r="H16" i="2" s="1"/>
  <c r="A16" i="2"/>
  <c r="B16" i="2" s="1"/>
  <c r="G15" i="2"/>
  <c r="H15" i="2" s="1"/>
  <c r="C15" i="2"/>
  <c r="B15" i="2"/>
  <c r="D15" i="2" s="1"/>
  <c r="A15" i="2"/>
  <c r="G14" i="2"/>
  <c r="H14" i="2" s="1"/>
  <c r="A14" i="2"/>
  <c r="C14" i="2" s="1"/>
  <c r="G13" i="2"/>
  <c r="H13" i="2" s="1"/>
  <c r="A13" i="2"/>
  <c r="C13" i="2" s="1"/>
  <c r="G12" i="2"/>
  <c r="G20" i="2" s="1"/>
  <c r="C12" i="2"/>
  <c r="B12" i="2"/>
  <c r="A12" i="2"/>
  <c r="G9" i="2"/>
  <c r="E9" i="2"/>
  <c r="C9" i="2"/>
  <c r="A9" i="2"/>
  <c r="H54" i="1"/>
  <c r="G54" i="1"/>
  <c r="I54" i="1" s="1"/>
  <c r="I53" i="1"/>
  <c r="A53" i="1"/>
  <c r="I52" i="1"/>
  <c r="A52" i="1"/>
  <c r="I51" i="1"/>
  <c r="A51" i="1"/>
  <c r="I50" i="1"/>
  <c r="A50" i="1"/>
  <c r="I49" i="1"/>
  <c r="A49" i="1"/>
  <c r="I48" i="1"/>
  <c r="A48" i="1"/>
  <c r="I47" i="1"/>
  <c r="A47" i="1"/>
  <c r="I46" i="1"/>
  <c r="A46" i="1"/>
  <c r="I45" i="1"/>
  <c r="A45" i="1"/>
  <c r="I44" i="1"/>
  <c r="A44" i="1"/>
  <c r="I43" i="1"/>
  <c r="A43" i="1"/>
  <c r="I42" i="1"/>
  <c r="A42" i="1"/>
  <c r="I41" i="1"/>
  <c r="A41" i="1"/>
  <c r="I40" i="1"/>
  <c r="A40" i="1"/>
  <c r="I39" i="1"/>
  <c r="A39" i="1"/>
  <c r="I38" i="1"/>
  <c r="A38" i="1"/>
  <c r="I37" i="1"/>
  <c r="A37" i="1"/>
  <c r="I36" i="1"/>
  <c r="A36" i="1"/>
  <c r="I35" i="1"/>
  <c r="A35" i="1"/>
  <c r="I34" i="1"/>
  <c r="A34" i="1"/>
  <c r="I33" i="1"/>
  <c r="A33" i="1"/>
  <c r="I32" i="1"/>
  <c r="A32" i="1"/>
  <c r="I31" i="1"/>
  <c r="A31" i="1"/>
  <c r="I30" i="1"/>
  <c r="A30" i="1"/>
  <c r="I29" i="1"/>
  <c r="A29" i="1"/>
  <c r="I28" i="1"/>
  <c r="A28" i="1"/>
  <c r="I27" i="1"/>
  <c r="A27" i="1"/>
  <c r="I26" i="1"/>
  <c r="A26" i="1"/>
  <c r="I25" i="1"/>
  <c r="A25" i="1"/>
  <c r="I24" i="1"/>
  <c r="A24" i="1"/>
  <c r="I23" i="1"/>
  <c r="A23" i="1"/>
  <c r="I22" i="1"/>
  <c r="A22" i="1"/>
  <c r="I21" i="1"/>
  <c r="A21" i="1"/>
  <c r="I20" i="1"/>
  <c r="A20" i="1"/>
  <c r="I19" i="1"/>
  <c r="A19" i="1"/>
  <c r="I18" i="1"/>
  <c r="A18" i="1"/>
  <c r="I17" i="1"/>
  <c r="A17" i="1"/>
  <c r="I16" i="1"/>
  <c r="A16" i="1"/>
  <c r="I15" i="1"/>
  <c r="A15" i="1"/>
  <c r="I14" i="1"/>
  <c r="A14" i="1"/>
  <c r="I13" i="1"/>
  <c r="A13" i="1"/>
  <c r="I12" i="1"/>
  <c r="A12" i="1"/>
  <c r="I11" i="1"/>
  <c r="A11" i="1"/>
  <c r="I10" i="1"/>
  <c r="A10" i="1"/>
  <c r="I9" i="1"/>
  <c r="A9" i="1"/>
  <c r="I8" i="1"/>
  <c r="A8" i="1"/>
  <c r="I7" i="1"/>
  <c r="A7" i="1"/>
  <c r="I6" i="1"/>
  <c r="A6" i="1"/>
  <c r="I5" i="1"/>
  <c r="B5" i="1"/>
  <c r="A2" i="1"/>
  <c r="D12" i="2" l="1"/>
  <c r="B18" i="2"/>
  <c r="D18" i="2" s="1"/>
  <c r="C16" i="2"/>
  <c r="C24" i="2" s="1"/>
  <c r="B19" i="2"/>
  <c r="D19" i="2" s="1"/>
  <c r="B21" i="2"/>
  <c r="D21" i="2" s="1"/>
  <c r="E12" i="2"/>
  <c r="H24" i="2"/>
  <c r="B13" i="2"/>
  <c r="D13" i="2" s="1"/>
  <c r="B22" i="2"/>
  <c r="D22" i="2" s="1"/>
  <c r="H12" i="2"/>
  <c r="B14" i="2"/>
  <c r="D14" i="2" s="1"/>
  <c r="B17" i="2"/>
  <c r="D17" i="2" s="1"/>
  <c r="B20" i="2"/>
  <c r="D20" i="2" s="1"/>
  <c r="E15" i="2" l="1"/>
  <c r="E18" i="2"/>
  <c r="E14" i="2"/>
  <c r="E16" i="2"/>
  <c r="E19" i="2"/>
  <c r="E22" i="2"/>
  <c r="E13" i="2"/>
  <c r="E21" i="2"/>
  <c r="E17" i="2"/>
  <c r="D16" i="2"/>
  <c r="E23" i="2"/>
  <c r="E24" i="2" s="1"/>
  <c r="E20" i="2"/>
  <c r="B24" i="2"/>
  <c r="D24" i="2" s="1"/>
</calcChain>
</file>

<file path=xl/sharedStrings.xml><?xml version="1.0" encoding="utf-8"?>
<sst xmlns="http://schemas.openxmlformats.org/spreadsheetml/2006/main" count="242" uniqueCount="139">
  <si>
    <t>Nr.</t>
  </si>
  <si>
    <t>Datum</t>
  </si>
  <si>
    <t>Beleg-Nr.</t>
  </si>
  <si>
    <t>Beschreibung</t>
  </si>
  <si>
    <t>Kategorie</t>
  </si>
  <si>
    <t>Zahlungsart</t>
  </si>
  <si>
    <t>Einnahme</t>
  </si>
  <si>
    <t>Ausgabe</t>
  </si>
  <si>
    <t>Kassenbestand</t>
  </si>
  <si>
    <t>Bemerkung</t>
  </si>
  <si>
    <t>Anfangsbestand zum Jahresbeginn</t>
  </si>
  <si>
    <t>2026-001</t>
  </si>
  <si>
    <t>Mitgliedsbeiträge Q1 (Sammelbuchung)</t>
  </si>
  <si>
    <t>Mitgliedsbeiträge</t>
  </si>
  <si>
    <t>SEPA-Lastschrift</t>
  </si>
  <si>
    <t>2026-002</t>
  </si>
  <si>
    <t>Miete Vereinsheim Januar</t>
  </si>
  <si>
    <t>Miete/Raumkosten</t>
  </si>
  <si>
    <t>Überweisung</t>
  </si>
  <si>
    <t>2026-003</t>
  </si>
  <si>
    <t>Bürobedarf (Ordner, Papier)</t>
  </si>
  <si>
    <t>Porto/Büro</t>
  </si>
  <si>
    <t>Bar</t>
  </si>
  <si>
    <t>2026-004</t>
  </si>
  <si>
    <t>Zuwendung Fördermitglied</t>
  </si>
  <si>
    <t>Spenden</t>
  </si>
  <si>
    <t>2026-005</t>
  </si>
  <si>
    <t>Miete Vereinsheim Februar</t>
  </si>
  <si>
    <t>2026-006</t>
  </si>
  <si>
    <t>Haftpflicht Jahresbeitrag</t>
  </si>
  <si>
    <t>Versicherungen</t>
  </si>
  <si>
    <t>2026-007</t>
  </si>
  <si>
    <t>Winterfest – Eintritt &amp; Getränke</t>
  </si>
  <si>
    <t>Veranstaltungen</t>
  </si>
  <si>
    <t>2026-008</t>
  </si>
  <si>
    <t>Winterfest – Bewirtungskosten</t>
  </si>
  <si>
    <t>Veranstaltungskosten</t>
  </si>
  <si>
    <t>2026-009</t>
  </si>
  <si>
    <t>Fahrtkostenerstattung Vorstand</t>
  </si>
  <si>
    <t>Fahrtkosten</t>
  </si>
  <si>
    <t>2026-010</t>
  </si>
  <si>
    <t>Miete Vereinsheim März</t>
  </si>
  <si>
    <t>2026-011</t>
  </si>
  <si>
    <t>Sponsoring Lokalunternehmen</t>
  </si>
  <si>
    <t>Sponsoring</t>
  </si>
  <si>
    <t>2026-012</t>
  </si>
  <si>
    <t>Materialkosten Vereinsprojekt</t>
  </si>
  <si>
    <t>Material</t>
  </si>
  <si>
    <t>EC-Karte</t>
  </si>
  <si>
    <t>2026-013</t>
  </si>
  <si>
    <t>Miete Vereinsheim April</t>
  </si>
  <si>
    <t>2026-014</t>
  </si>
  <si>
    <t>Zuschuss Gemeinde</t>
  </si>
  <si>
    <t>Zuschüsse</t>
  </si>
  <si>
    <t>2026-015</t>
  </si>
  <si>
    <t>Portokosten Einladungen</t>
  </si>
  <si>
    <t>2026-016</t>
  </si>
  <si>
    <t>Miete Vereinsheim Mai</t>
  </si>
  <si>
    <t>2026-017</t>
  </si>
  <si>
    <t>Mitgliedsbeiträge Q2 (Sammelbuchung)</t>
  </si>
  <si>
    <t>2026-018</t>
  </si>
  <si>
    <t>Verkauf Vereinsartikel (Textilien)</t>
  </si>
  <si>
    <t>Verkaufserlöse</t>
  </si>
  <si>
    <t>PayPal</t>
  </si>
  <si>
    <t>2026-019</t>
  </si>
  <si>
    <t>Miete Vereinsheim Juni</t>
  </si>
  <si>
    <t>2026-020</t>
  </si>
  <si>
    <t>Sommerfest – Eintritt &amp; Verkauf</t>
  </si>
  <si>
    <t>2026-021</t>
  </si>
  <si>
    <t>Sommerfest – Zelt &amp; GEMA</t>
  </si>
  <si>
    <t>2026-022</t>
  </si>
  <si>
    <t>Kontoführungsgebühren 1. Halbjahr</t>
  </si>
  <si>
    <t>Gebühren/Beiträge</t>
  </si>
  <si>
    <t>2026-023</t>
  </si>
  <si>
    <t>Miete Vereinsheim Juli</t>
  </si>
  <si>
    <t>2026-024</t>
  </si>
  <si>
    <t>Spende Mitgliederkreis</t>
  </si>
  <si>
    <t>2026-025</t>
  </si>
  <si>
    <t>Miete Vereinsheim September</t>
  </si>
  <si>
    <t>2026-026</t>
  </si>
  <si>
    <t>Anschaffung Vereinsbedarf</t>
  </si>
  <si>
    <t>Vereinsbedarf</t>
  </si>
  <si>
    <t>2026-027</t>
  </si>
  <si>
    <t>Mitgliedsbeiträge Q3 (Sammelbuchung)</t>
  </si>
  <si>
    <t>2026-028</t>
  </si>
  <si>
    <t>Miete Vereinsheim Oktober</t>
  </si>
  <si>
    <t>2026-029</t>
  </si>
  <si>
    <t>Zinsgutschrift Vereinskonto</t>
  </si>
  <si>
    <t>Zinserträge</t>
  </si>
  <si>
    <t>2026-030</t>
  </si>
  <si>
    <t>Herbstbasar – Einnahmen</t>
  </si>
  <si>
    <t>2026-031</t>
  </si>
  <si>
    <t>Miete Vereinsheim Dezember</t>
  </si>
  <si>
    <t>2026-032</t>
  </si>
  <si>
    <t>Weihnachtsfeier – Bewirtung</t>
  </si>
  <si>
    <t>Bewirtung</t>
  </si>
  <si>
    <t>2026-033</t>
  </si>
  <si>
    <t>Jahresendspende</t>
  </si>
  <si>
    <t>Summen / Endbestand</t>
  </si>
  <si>
    <t>VEREINSKASSENBUCH</t>
  </si>
  <si>
    <t>Einnahmen-Ausgaben-Rechnung · Jahresübersicht</t>
  </si>
  <si>
    <t>Verein:</t>
  </si>
  <si>
    <t>Musterverein e.V.</t>
  </si>
  <si>
    <t>Geschäftsjahr:</t>
  </si>
  <si>
    <t>Kassenwart/in:</t>
  </si>
  <si>
    <t>Max Mustermann</t>
  </si>
  <si>
    <t>Erstellt am:</t>
  </si>
  <si>
    <t>Anfangsbestand:</t>
  </si>
  <si>
    <t>Stand:</t>
  </si>
  <si>
    <t>Entwurf</t>
  </si>
  <si>
    <t>SUMME EINNAHMEN</t>
  </si>
  <si>
    <t>SUMME AUSGABEN</t>
  </si>
  <si>
    <t>JAHRESERGEBNIS</t>
  </si>
  <si>
    <t>KASSENBESTAND</t>
  </si>
  <si>
    <t>Monat</t>
  </si>
  <si>
    <t>Einnahmen</t>
  </si>
  <si>
    <t>Ausgaben</t>
  </si>
  <si>
    <t>Saldo</t>
  </si>
  <si>
    <t>Bestand (Monatsende)</t>
  </si>
  <si>
    <t>Einnahmen nach Kategorie</t>
  </si>
  <si>
    <t>Sonstige Einnahmen</t>
  </si>
  <si>
    <t>Summe Einnahmen</t>
  </si>
  <si>
    <t>Ausgaben nach Kategorie</t>
  </si>
  <si>
    <t>Gesamt</t>
  </si>
  <si>
    <t>Sonstige Ausgaben</t>
  </si>
  <si>
    <t>Summe Ausgaben</t>
  </si>
  <si>
    <t>Hinweise zur Nutzung</t>
  </si>
  <si>
    <t>· Gelb hinterlegte Felder sind Eingabefelder: Verein, Kassenwart/in, Geschäftsjahr und Anfangsbestand hier anpassen.</t>
  </si>
  <si>
    <t>· Buchungen im Blatt „Kassenbuch“ erfassen: Datum, Beleg-Nr., Beschreibung, Kategorie und Zahlungsart (Dropdown) sowie Betrag als Einnahme ODER Ausgabe.</t>
  </si>
  <si>
    <t>· Spalten „Nr.“ und „Kassenbestand“ enthalten Formeln – bitte nicht überschreiben. Der Saldo baut sich automatisch auf.</t>
  </si>
  <si>
    <t>· Kategorien und Zahlungsarten im Blatt „Kategorien“ pflegen; die Dropdowns aktualisieren sich automatisch.</t>
  </si>
  <si>
    <t>· Ein negativer Kassenbestand wird rot markiert; fehlt bei einer Buchung die Beleg-Nr., wird das Feld hervorgehoben.</t>
  </si>
  <si>
    <t>· Belegnummern fortlaufend und lückenlos je Jahr vergeben (z. B. 2026-001).</t>
  </si>
  <si>
    <t>KATEGORIEN &amp; ZAHLUNGSARTEN</t>
  </si>
  <si>
    <t>Diese Listen steuern die Dropdown-Menüs im Kassenbuch. Neue Einträge einfach ergänzen – Überschriften nicht ändern.</t>
  </si>
  <si>
    <t>Kategorie (Auswahl)</t>
  </si>
  <si>
    <t>Typ</t>
  </si>
  <si>
    <t>Kartenzahlung</t>
  </si>
  <si>
    <t>KASSENBUCH VEREINE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</si>
</sst>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"/>
    <numFmt numFmtId="165" formatCode="#,##0.00&quot; €&quot;;[Red]\-#,##0.00&quot; €&quot;"/>
    <numFmt numFmtId="166" formatCode="#,##0.00&quot; €&quot;"/>
    <numFmt numFmtId="167" formatCode="[$-407]mmmm"/>
    <numFmt numFmtId="168" formatCode="0.0%"/>
  </numFmts>
  <fonts count="20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b/>
      <sz val="11"/>
      <color rgb="FFB7892B"/>
      <name val="Calibri"/>
      <charset val="1"/>
    </font>
    <font>
      <b/>
      <sz val="11"/>
      <color rgb="FFFFFFFF"/>
      <name val="Calibri"/>
      <charset val="1"/>
    </font>
    <font>
      <sz val="10"/>
      <color rgb="FF1F2A2B"/>
      <name val="Calibri"/>
      <charset val="1"/>
    </font>
    <font>
      <b/>
      <sz val="10"/>
      <color rgb="FF0E4B4F"/>
      <name val="Calibri"/>
      <charset val="1"/>
    </font>
    <font>
      <sz val="10"/>
      <color rgb="FF1E7A46"/>
      <name val="Calibri"/>
      <charset val="1"/>
    </font>
    <font>
      <sz val="10"/>
      <color rgb="FFB23A2E"/>
      <name val="Calibri"/>
      <charset val="1"/>
    </font>
    <font>
      <sz val="9"/>
      <color rgb="FF5F6E6F"/>
      <name val="Calibri"/>
      <charset val="1"/>
    </font>
    <font>
      <b/>
      <sz val="10"/>
      <color rgb="FF1F2A2B"/>
      <name val="Calibri"/>
      <charset val="1"/>
    </font>
    <font>
      <b/>
      <sz val="22"/>
      <color rgb="FFFFFFFF"/>
      <name val="Calibri"/>
      <charset val="1"/>
    </font>
    <font>
      <b/>
      <sz val="9"/>
      <color rgb="FF5F6E6F"/>
      <name val="Calibri"/>
      <charset val="1"/>
    </font>
    <font>
      <b/>
      <sz val="16"/>
      <color rgb="FF1E7A46"/>
      <name val="Calibri"/>
      <charset val="1"/>
    </font>
    <font>
      <b/>
      <sz val="16"/>
      <color rgb="FFB23A2E"/>
      <name val="Calibri"/>
      <charset val="1"/>
    </font>
    <font>
      <b/>
      <sz val="16"/>
      <color rgb="FF0E4B4F"/>
      <name val="Calibri"/>
      <charset val="1"/>
    </font>
    <font>
      <sz val="10"/>
      <color rgb="FF5F6E6F"/>
      <name val="Calibri"/>
      <charset val="1"/>
    </font>
    <font>
      <b/>
      <sz val="10"/>
      <color rgb="FF1E7A46"/>
      <name val="Calibri"/>
      <charset val="1"/>
    </font>
    <font>
      <b/>
      <sz val="10"/>
      <color rgb="FFB23A2E"/>
      <name val="Calibri"/>
      <charset val="1"/>
    </font>
    <font>
      <b/>
      <sz val="15"/>
      <color rgb="FFFFFFFF"/>
      <name val="Calibri"/>
      <charset val="1"/>
    </font>
    <font>
      <i/>
      <sz val="9"/>
      <color rgb="FF5F6E6F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0E4B4F"/>
        <bgColor rgb="FF0A3A3D"/>
      </patternFill>
    </fill>
    <fill>
      <patternFill patternType="solid">
        <fgColor rgb="FF0A3A3D"/>
        <bgColor rgb="FF0E4B4F"/>
      </patternFill>
    </fill>
    <fill>
      <patternFill patternType="solid">
        <fgColor rgb="FF14636A"/>
        <bgColor rgb="FF0E4B4F"/>
      </patternFill>
    </fill>
    <fill>
      <patternFill patternType="solid">
        <fgColor rgb="FFE7F0F0"/>
        <bgColor rgb="FFF3F8F8"/>
      </patternFill>
    </fill>
    <fill>
      <patternFill patternType="solid">
        <fgColor rgb="FFF3F8F8"/>
        <bgColor rgb="FFFFFFFF"/>
      </patternFill>
    </fill>
    <fill>
      <patternFill patternType="solid">
        <fgColor rgb="FFFBF4E2"/>
        <bgColor rgb="FFF3F8F8"/>
      </patternFill>
    </fill>
  </fills>
  <borders count="3">
    <border>
      <left/>
      <right/>
      <top/>
      <bottom/>
      <diagonal/>
    </border>
    <border>
      <left style="thin">
        <color rgb="FFCFDEDE"/>
      </left>
      <right style="thin">
        <color rgb="FFCFDEDE"/>
      </right>
      <top style="thin">
        <color rgb="FFCFDEDE"/>
      </top>
      <bottom style="thin">
        <color rgb="FFCFDEDE"/>
      </bottom>
      <diagonal/>
    </border>
    <border>
      <left style="medium">
        <color rgb="FF0E4B4F"/>
      </left>
      <right style="medium">
        <color rgb="FF0E4B4F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9" fillId="0" borderId="0" xfId="0" applyFont="1" applyAlignment="1">
      <alignment horizontal="left" vertical="center" wrapText="1"/>
    </xf>
    <xf numFmtId="0" fontId="18" fillId="2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165" fontId="14" fillId="5" borderId="2" xfId="0" applyNumberFormat="1" applyFont="1" applyFill="1" applyBorder="1" applyAlignment="1">
      <alignment horizontal="left" vertical="center"/>
    </xf>
    <xf numFmtId="165" fontId="13" fillId="5" borderId="2" xfId="0" applyNumberFormat="1" applyFont="1" applyFill="1" applyBorder="1" applyAlignment="1">
      <alignment horizontal="left" vertical="center"/>
    </xf>
    <xf numFmtId="165" fontId="12" fillId="5" borderId="2" xfId="0" applyNumberFormat="1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right" vertical="center"/>
    </xf>
    <xf numFmtId="165" fontId="5" fillId="5" borderId="1" xfId="0" applyNumberFormat="1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left" vertical="center" wrapText="1"/>
    </xf>
    <xf numFmtId="1" fontId="4" fillId="6" borderId="1" xfId="0" applyNumberFormat="1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166" fontId="6" fillId="6" borderId="1" xfId="0" applyNumberFormat="1" applyFont="1" applyFill="1" applyBorder="1" applyAlignment="1">
      <alignment horizontal="right" vertical="center"/>
    </xf>
    <xf numFmtId="0" fontId="7" fillId="6" borderId="1" xfId="0" applyFont="1" applyFill="1" applyBorder="1" applyAlignment="1">
      <alignment horizontal="right" vertical="center"/>
    </xf>
    <xf numFmtId="165" fontId="9" fillId="6" borderId="1" xfId="0" applyNumberFormat="1" applyFont="1" applyFill="1" applyBorder="1" applyAlignment="1">
      <alignment horizontal="right" vertical="center"/>
    </xf>
    <xf numFmtId="0" fontId="8" fillId="6" borderId="1" xfId="0" applyFont="1" applyFill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/>
    </xf>
    <xf numFmtId="166" fontId="7" fillId="0" borderId="1" xfId="0" applyNumberFormat="1" applyFont="1" applyBorder="1" applyAlignment="1">
      <alignment horizontal="right" vertical="center"/>
    </xf>
    <xf numFmtId="165" fontId="9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6" fillId="6" borderId="1" xfId="0" applyFont="1" applyFill="1" applyBorder="1" applyAlignment="1">
      <alignment horizontal="right" vertical="center"/>
    </xf>
    <xf numFmtId="166" fontId="7" fillId="6" borderId="1" xfId="0" applyNumberFormat="1" applyFont="1" applyFill="1" applyBorder="1" applyAlignment="1">
      <alignment horizontal="right" vertical="center"/>
    </xf>
    <xf numFmtId="16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6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7" borderId="1" xfId="0" applyFont="1" applyFill="1" applyBorder="1" applyAlignment="1">
      <alignment horizontal="left" vertical="center" wrapText="1"/>
    </xf>
    <xf numFmtId="1" fontId="4" fillId="7" borderId="1" xfId="0" applyNumberFormat="1" applyFont="1" applyFill="1" applyBorder="1" applyAlignment="1">
      <alignment horizontal="left" vertical="center" wrapText="1"/>
    </xf>
    <xf numFmtId="164" fontId="4" fillId="7" borderId="1" xfId="0" applyNumberFormat="1" applyFont="1" applyFill="1" applyBorder="1" applyAlignment="1">
      <alignment horizontal="left" vertical="center" wrapText="1"/>
    </xf>
    <xf numFmtId="165" fontId="4" fillId="7" borderId="1" xfId="0" applyNumberFormat="1" applyFont="1" applyFill="1" applyBorder="1" applyAlignment="1">
      <alignment horizontal="left" vertical="center" wrapText="1"/>
    </xf>
    <xf numFmtId="167" fontId="4" fillId="0" borderId="1" xfId="0" applyNumberFormat="1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right" vertical="center"/>
    </xf>
    <xf numFmtId="168" fontId="15" fillId="0" borderId="1" xfId="0" applyNumberFormat="1" applyFont="1" applyBorder="1" applyAlignment="1">
      <alignment horizontal="right" vertical="center"/>
    </xf>
    <xf numFmtId="167" fontId="4" fillId="6" borderId="1" xfId="0" applyNumberFormat="1" applyFont="1" applyFill="1" applyBorder="1" applyAlignment="1">
      <alignment horizontal="left" vertical="center" wrapText="1"/>
    </xf>
    <xf numFmtId="165" fontId="4" fillId="6" borderId="1" xfId="0" applyNumberFormat="1" applyFont="1" applyFill="1" applyBorder="1" applyAlignment="1">
      <alignment horizontal="right" vertical="center"/>
    </xf>
    <xf numFmtId="168" fontId="15" fillId="6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/>
    <xf numFmtId="166" fontId="16" fillId="5" borderId="1" xfId="0" applyNumberFormat="1" applyFont="1" applyFill="1" applyBorder="1" applyAlignment="1">
      <alignment horizontal="right" vertical="center"/>
    </xf>
    <xf numFmtId="0" fontId="0" fillId="5" borderId="1" xfId="0" applyFill="1" applyBorder="1"/>
    <xf numFmtId="166" fontId="17" fillId="5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Standard" xfId="0" builtinId="0"/>
  </cellStyles>
  <dxfs count="2">
    <dxf>
      <font>
        <b/>
        <sz val="10"/>
        <color rgb="FFB23A2E"/>
        <name val="Calibri"/>
        <charset val="1"/>
      </font>
      <fill>
        <patternFill>
          <bgColor rgb="FFF6D2CE"/>
        </patternFill>
      </fill>
    </dxf>
    <dxf>
      <fill>
        <patternFill>
          <bgColor rgb="FFFBE9C7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7892B"/>
      <rgbColor rgb="FF800080"/>
      <rgbColor rgb="FF1E7A46"/>
      <rgbColor rgb="FFC0C0C0"/>
      <rgbColor rgb="FF878787"/>
      <rgbColor rgb="FF9999FF"/>
      <rgbColor rgb="FF993366"/>
      <rgbColor rgb="FFFBF4E2"/>
      <rgbColor rgb="FFE7F0F0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14636A"/>
      <rgbColor rgb="FF0000FF"/>
      <rgbColor rgb="FF00CCFF"/>
      <rgbColor rgb="FFF3F8F8"/>
      <rgbColor rgb="FFCFDEDE"/>
      <rgbColor rgb="FFFBE9C7"/>
      <rgbColor rgb="FF99CCFF"/>
      <rgbColor rgb="FFFF99CC"/>
      <rgbColor rgb="FFCC99FF"/>
      <rgbColor rgb="FFF6D2CE"/>
      <rgbColor rgb="FF3366FF"/>
      <rgbColor rgb="FF33CCCC"/>
      <rgbColor rgb="FF99CC00"/>
      <rgbColor rgb="FFFFCC00"/>
      <rgbColor rgb="FFFF9900"/>
      <rgbColor rgb="FFFF6600"/>
      <rgbColor rgb="FF5F6E6F"/>
      <rgbColor rgb="FF969696"/>
      <rgbColor rgb="FF0A3A3D"/>
      <rgbColor rgb="FF339966"/>
      <rgbColor rgb="FF0E4B4F"/>
      <rgbColor rgb="FF333300"/>
      <rgbColor rgb="FFB23A2E"/>
      <rgbColor rgb="FF993366"/>
      <rgbColor rgb="FF333399"/>
      <rgbColor rgb="FF1F2A2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Einnahmen und Ausgaben je Monat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Jahresübersicht!$B$11</c:f>
              <c:strCache>
                <c:ptCount val="1"/>
                <c:pt idx="0">
                  <c:v>Einnahmen</c:v>
                </c:pt>
              </c:strCache>
            </c:strRef>
          </c:tx>
          <c:spPr>
            <a:solidFill>
              <a:srgbClr val="1E7A46"/>
            </a:solidFill>
            <a:ln w="9360">
              <a:solidFill>
                <a:srgbClr val="1E7A46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Jahresübersicht!$A$12:$A$23</c:f>
              <c:numCache>
                <c:formatCode>[$-407]mmmm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Jahresübersicht!$B$12:$B$23</c:f>
              <c:numCache>
                <c:formatCode>#,##0.00" €"</c:formatCode>
                <c:ptCount val="12"/>
                <c:pt idx="0">
                  <c:v>2340</c:v>
                </c:pt>
                <c:pt idx="1">
                  <c:v>765.5</c:v>
                </c:pt>
                <c:pt idx="2">
                  <c:v>750</c:v>
                </c:pt>
                <c:pt idx="3">
                  <c:v>1200</c:v>
                </c:pt>
                <c:pt idx="4">
                  <c:v>2026</c:v>
                </c:pt>
                <c:pt idx="5">
                  <c:v>1320</c:v>
                </c:pt>
                <c:pt idx="6">
                  <c:v>150</c:v>
                </c:pt>
                <c:pt idx="7">
                  <c:v>0</c:v>
                </c:pt>
                <c:pt idx="8">
                  <c:v>1760</c:v>
                </c:pt>
                <c:pt idx="9">
                  <c:v>12.45</c:v>
                </c:pt>
                <c:pt idx="10">
                  <c:v>543.20000000000005</c:v>
                </c:pt>
                <c:pt idx="11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C1-4244-A8C2-951426926ABE}"/>
            </c:ext>
          </c:extLst>
        </c:ser>
        <c:ser>
          <c:idx val="1"/>
          <c:order val="1"/>
          <c:tx>
            <c:strRef>
              <c:f>Jahresübersicht!$C$11</c:f>
              <c:strCache>
                <c:ptCount val="1"/>
                <c:pt idx="0">
                  <c:v>Ausgaben</c:v>
                </c:pt>
              </c:strCache>
            </c:strRef>
          </c:tx>
          <c:spPr>
            <a:solidFill>
              <a:srgbClr val="B23A2E"/>
            </a:solidFill>
            <a:ln w="9360">
              <a:solidFill>
                <a:srgbClr val="B23A2E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Jahresübersicht!$A$12:$A$23</c:f>
              <c:numCache>
                <c:formatCode>[$-407]mmmm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Jahresübersicht!$C$12:$C$23</c:f>
              <c:numCache>
                <c:formatCode>#,##0.00" €"</c:formatCode>
                <c:ptCount val="12"/>
                <c:pt idx="0">
                  <c:v>467.8</c:v>
                </c:pt>
                <c:pt idx="1">
                  <c:v>1107.5999999999999</c:v>
                </c:pt>
                <c:pt idx="2">
                  <c:v>578.9</c:v>
                </c:pt>
                <c:pt idx="3">
                  <c:v>454.5</c:v>
                </c:pt>
                <c:pt idx="4">
                  <c:v>420</c:v>
                </c:pt>
                <c:pt idx="5">
                  <c:v>1107.3</c:v>
                </c:pt>
                <c:pt idx="6">
                  <c:v>420</c:v>
                </c:pt>
                <c:pt idx="7">
                  <c:v>0</c:v>
                </c:pt>
                <c:pt idx="8">
                  <c:v>633.75</c:v>
                </c:pt>
                <c:pt idx="9">
                  <c:v>420</c:v>
                </c:pt>
                <c:pt idx="10">
                  <c:v>0</c:v>
                </c:pt>
                <c:pt idx="11">
                  <c:v>688.6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C1-4244-A8C2-951426926A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axId val="39722719"/>
        <c:axId val="8011038"/>
      </c:barChart>
      <c:dateAx>
        <c:axId val="39722719"/>
        <c:scaling>
          <c:orientation val="minMax"/>
        </c:scaling>
        <c:delete val="0"/>
        <c:axPos val="b"/>
        <c:numFmt formatCode="[$-407]mmm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011038"/>
        <c:crosses val="autoZero"/>
        <c:auto val="1"/>
        <c:lblOffset val="100"/>
        <c:baseTimeUnit val="months"/>
      </c:dateAx>
      <c:valAx>
        <c:axId val="801103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972271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4</xdr:col>
      <xdr:colOff>820800</xdr:colOff>
      <xdr:row>40</xdr:row>
      <xdr:rowOff>32400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4B4F"/>
  </sheetPr>
  <dimension ref="A1:J54"/>
  <sheetViews>
    <sheetView showGridLines="0" tabSelected="1" zoomScaleNormal="100" workbookViewId="0">
      <pane ySplit="4" topLeftCell="A5" activePane="bottomLeft" state="frozen"/>
      <selection pane="bottomLeft" activeCell="N67" sqref="N67"/>
    </sheetView>
  </sheetViews>
  <sheetFormatPr baseColWidth="10" defaultColWidth="8.7109375" defaultRowHeight="15" x14ac:dyDescent="0.25"/>
  <cols>
    <col min="1" max="1" width="6" customWidth="1"/>
    <col min="2" max="2" width="12.42578125" customWidth="1"/>
    <col min="3" max="3" width="12" customWidth="1"/>
    <col min="4" max="4" width="34" customWidth="1"/>
    <col min="5" max="5" width="20" customWidth="1"/>
    <col min="6" max="6" width="17" customWidth="1"/>
    <col min="7" max="8" width="14" customWidth="1"/>
    <col min="9" max="9" width="16" customWidth="1"/>
    <col min="10" max="10" width="26" customWidth="1"/>
  </cols>
  <sheetData>
    <row r="1" spans="1:10" ht="39.75" customHeight="1" x14ac:dyDescent="0.25">
      <c r="A1" s="13" t="s">
        <v>138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.75" customHeight="1" x14ac:dyDescent="0.25">
      <c r="A2" s="12" t="str">
        <f>"Geschäftsjahr "&amp;TEXT(Jahresübersicht!$G$4,"0")&amp;"   ·   "&amp;Jahresübersicht!$B$4</f>
        <v>Geschäftsjahr 2026   ·   Musterverein e.V.</v>
      </c>
      <c r="B2" s="12"/>
      <c r="C2" s="12"/>
      <c r="D2" s="12"/>
      <c r="E2" s="12"/>
      <c r="F2" s="12"/>
      <c r="G2" s="12"/>
      <c r="H2" s="12"/>
      <c r="I2" s="12"/>
      <c r="J2" s="12"/>
    </row>
    <row r="4" spans="1:10" ht="30" customHeight="1" x14ac:dyDescent="0.25">
      <c r="A4" s="14" t="s">
        <v>0</v>
      </c>
      <c r="B4" s="14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</row>
    <row r="5" spans="1:10" ht="18" customHeight="1" x14ac:dyDescent="0.25">
      <c r="A5" s="15"/>
      <c r="B5" s="16">
        <f>DATE(Jahresübersicht!$G$4,1,1)</f>
        <v>46023</v>
      </c>
      <c r="C5" s="15"/>
      <c r="D5" s="17" t="s">
        <v>10</v>
      </c>
      <c r="E5" s="18"/>
      <c r="F5" s="15"/>
      <c r="G5" s="19"/>
      <c r="H5" s="20"/>
      <c r="I5" s="21">
        <f>Jahresübersicht!$B$6</f>
        <v>3250</v>
      </c>
      <c r="J5" s="22"/>
    </row>
    <row r="6" spans="1:10" ht="18" customHeight="1" x14ac:dyDescent="0.25">
      <c r="A6" s="23">
        <f>IF($B6="","",COUNT($B$6:$B6))</f>
        <v>1</v>
      </c>
      <c r="B6" s="24">
        <v>46027</v>
      </c>
      <c r="C6" s="25" t="s">
        <v>11</v>
      </c>
      <c r="D6" s="26" t="s">
        <v>12</v>
      </c>
      <c r="E6" s="26" t="s">
        <v>13</v>
      </c>
      <c r="F6" s="25" t="s">
        <v>14</v>
      </c>
      <c r="G6" s="27">
        <v>1840</v>
      </c>
      <c r="H6" s="28"/>
      <c r="I6" s="29">
        <f>IF(AND($G6="",$H6=""),"",Jahresübersicht!$B$6+SUM($G$6:$G6)-SUM($H$6:$H6))</f>
        <v>5090</v>
      </c>
      <c r="J6" s="30"/>
    </row>
    <row r="7" spans="1:10" ht="18" customHeight="1" x14ac:dyDescent="0.25">
      <c r="A7" s="31">
        <f>IF($B7="","",COUNT($B$6:$B7))</f>
        <v>2</v>
      </c>
      <c r="B7" s="32">
        <v>46030</v>
      </c>
      <c r="C7" s="33" t="s">
        <v>15</v>
      </c>
      <c r="D7" s="34" t="s">
        <v>16</v>
      </c>
      <c r="E7" s="34" t="s">
        <v>17</v>
      </c>
      <c r="F7" s="33" t="s">
        <v>18</v>
      </c>
      <c r="G7" s="35"/>
      <c r="H7" s="36">
        <v>420</v>
      </c>
      <c r="I7" s="37">
        <f>IF(AND($G7="",$H7=""),"",Jahresübersicht!$B$6+SUM($G$6:$G7)-SUM($H$6:$H7))</f>
        <v>4670</v>
      </c>
      <c r="J7" s="38"/>
    </row>
    <row r="8" spans="1:10" ht="18" customHeight="1" x14ac:dyDescent="0.25">
      <c r="A8" s="23">
        <f>IF($B8="","",COUNT($B$6:$B8))</f>
        <v>3</v>
      </c>
      <c r="B8" s="24">
        <v>46034</v>
      </c>
      <c r="C8" s="25" t="s">
        <v>19</v>
      </c>
      <c r="D8" s="26" t="s">
        <v>20</v>
      </c>
      <c r="E8" s="26" t="s">
        <v>21</v>
      </c>
      <c r="F8" s="25" t="s">
        <v>22</v>
      </c>
      <c r="G8" s="39"/>
      <c r="H8" s="40">
        <v>47.8</v>
      </c>
      <c r="I8" s="29">
        <f>IF(AND($G8="",$H8=""),"",Jahresübersicht!$B$6+SUM($G$6:$G8)-SUM($H$6:$H8))</f>
        <v>4622.2</v>
      </c>
      <c r="J8" s="30"/>
    </row>
    <row r="9" spans="1:10" ht="18" customHeight="1" x14ac:dyDescent="0.25">
      <c r="A9" s="31">
        <f>IF($B9="","",COUNT($B$6:$B9))</f>
        <v>4</v>
      </c>
      <c r="B9" s="32">
        <v>46042</v>
      </c>
      <c r="C9" s="33" t="s">
        <v>23</v>
      </c>
      <c r="D9" s="34" t="s">
        <v>24</v>
      </c>
      <c r="E9" s="34" t="s">
        <v>25</v>
      </c>
      <c r="F9" s="33" t="s">
        <v>18</v>
      </c>
      <c r="G9" s="41">
        <v>500</v>
      </c>
      <c r="H9" s="42"/>
      <c r="I9" s="37">
        <f>IF(AND($G9="",$H9=""),"",Jahresübersicht!$B$6+SUM($G$6:$G9)-SUM($H$6:$H9))</f>
        <v>5122.2</v>
      </c>
      <c r="J9" s="38"/>
    </row>
    <row r="10" spans="1:10" ht="18" customHeight="1" x14ac:dyDescent="0.25">
      <c r="A10" s="23">
        <f>IF($B10="","",COUNT($B$6:$B10))</f>
        <v>5</v>
      </c>
      <c r="B10" s="24">
        <v>46055</v>
      </c>
      <c r="C10" s="25" t="s">
        <v>26</v>
      </c>
      <c r="D10" s="26" t="s">
        <v>27</v>
      </c>
      <c r="E10" s="26" t="s">
        <v>17</v>
      </c>
      <c r="F10" s="25" t="s">
        <v>18</v>
      </c>
      <c r="G10" s="39"/>
      <c r="H10" s="40">
        <v>420</v>
      </c>
      <c r="I10" s="29">
        <f>IF(AND($G10="",$H10=""),"",Jahresübersicht!$B$6+SUM($G$6:$G10)-SUM($H$6:$H10))</f>
        <v>4702.2</v>
      </c>
      <c r="J10" s="30"/>
    </row>
    <row r="11" spans="1:10" ht="18" customHeight="1" x14ac:dyDescent="0.25">
      <c r="A11" s="31">
        <f>IF($B11="","",COUNT($B$6:$B11))</f>
        <v>6</v>
      </c>
      <c r="B11" s="32">
        <v>46062</v>
      </c>
      <c r="C11" s="33" t="s">
        <v>28</v>
      </c>
      <c r="D11" s="34" t="s">
        <v>29</v>
      </c>
      <c r="E11" s="34" t="s">
        <v>30</v>
      </c>
      <c r="F11" s="33" t="s">
        <v>14</v>
      </c>
      <c r="G11" s="35"/>
      <c r="H11" s="36">
        <v>289</v>
      </c>
      <c r="I11" s="37">
        <f>IF(AND($G11="",$H11=""),"",Jahresübersicht!$B$6+SUM($G$6:$G11)-SUM($H$6:$H11))</f>
        <v>4413.2</v>
      </c>
      <c r="J11" s="38"/>
    </row>
    <row r="12" spans="1:10" ht="18" customHeight="1" x14ac:dyDescent="0.25">
      <c r="A12" s="23">
        <f>IF($B12="","",COUNT($B$6:$B12))</f>
        <v>7</v>
      </c>
      <c r="B12" s="24">
        <v>46067</v>
      </c>
      <c r="C12" s="25" t="s">
        <v>31</v>
      </c>
      <c r="D12" s="26" t="s">
        <v>32</v>
      </c>
      <c r="E12" s="26" t="s">
        <v>33</v>
      </c>
      <c r="F12" s="25" t="s">
        <v>22</v>
      </c>
      <c r="G12" s="27">
        <v>765.5</v>
      </c>
      <c r="H12" s="28"/>
      <c r="I12" s="29">
        <f>IF(AND($G12="",$H12=""),"",Jahresübersicht!$B$6+SUM($G$6:$G12)-SUM($H$6:$H12))</f>
        <v>5178.7</v>
      </c>
      <c r="J12" s="30"/>
    </row>
    <row r="13" spans="1:10" ht="18" customHeight="1" x14ac:dyDescent="0.25">
      <c r="A13" s="31">
        <f>IF($B13="","",COUNT($B$6:$B13))</f>
        <v>8</v>
      </c>
      <c r="B13" s="32">
        <v>46067</v>
      </c>
      <c r="C13" s="33" t="s">
        <v>34</v>
      </c>
      <c r="D13" s="34" t="s">
        <v>35</v>
      </c>
      <c r="E13" s="34" t="s">
        <v>36</v>
      </c>
      <c r="F13" s="33" t="s">
        <v>22</v>
      </c>
      <c r="G13" s="35"/>
      <c r="H13" s="36">
        <v>312.39999999999998</v>
      </c>
      <c r="I13" s="37">
        <f>IF(AND($G13="",$H13=""),"",Jahresübersicht!$B$6+SUM($G$6:$G13)-SUM($H$6:$H13))</f>
        <v>4866.3</v>
      </c>
      <c r="J13" s="38"/>
    </row>
    <row r="14" spans="1:10" ht="18" customHeight="1" x14ac:dyDescent="0.25">
      <c r="A14" s="23">
        <f>IF($B14="","",COUNT($B$6:$B14))</f>
        <v>9</v>
      </c>
      <c r="B14" s="24">
        <v>46080</v>
      </c>
      <c r="C14" s="25" t="s">
        <v>37</v>
      </c>
      <c r="D14" s="26" t="s">
        <v>38</v>
      </c>
      <c r="E14" s="26" t="s">
        <v>39</v>
      </c>
      <c r="F14" s="25" t="s">
        <v>18</v>
      </c>
      <c r="G14" s="39"/>
      <c r="H14" s="40">
        <v>86.2</v>
      </c>
      <c r="I14" s="29">
        <f>IF(AND($G14="",$H14=""),"",Jahresübersicht!$B$6+SUM($G$6:$G14)-SUM($H$6:$H14))</f>
        <v>4780.1000000000004</v>
      </c>
      <c r="J14" s="30"/>
    </row>
    <row r="15" spans="1:10" ht="18" customHeight="1" x14ac:dyDescent="0.25">
      <c r="A15" s="31">
        <f>IF($B15="","",COUNT($B$6:$B15))</f>
        <v>10</v>
      </c>
      <c r="B15" s="32">
        <v>46084</v>
      </c>
      <c r="C15" s="33" t="s">
        <v>40</v>
      </c>
      <c r="D15" s="34" t="s">
        <v>41</v>
      </c>
      <c r="E15" s="34" t="s">
        <v>17</v>
      </c>
      <c r="F15" s="33" t="s">
        <v>18</v>
      </c>
      <c r="G15" s="35"/>
      <c r="H15" s="36">
        <v>420</v>
      </c>
      <c r="I15" s="37">
        <f>IF(AND($G15="",$H15=""),"",Jahresübersicht!$B$6+SUM($G$6:$G15)-SUM($H$6:$H15))</f>
        <v>4360.1000000000004</v>
      </c>
      <c r="J15" s="38"/>
    </row>
    <row r="16" spans="1:10" ht="18" customHeight="1" x14ac:dyDescent="0.25">
      <c r="A16" s="23">
        <f>IF($B16="","",COUNT($B$6:$B16))</f>
        <v>11</v>
      </c>
      <c r="B16" s="24">
        <v>46096</v>
      </c>
      <c r="C16" s="25" t="s">
        <v>42</v>
      </c>
      <c r="D16" s="26" t="s">
        <v>43</v>
      </c>
      <c r="E16" s="26" t="s">
        <v>44</v>
      </c>
      <c r="F16" s="25" t="s">
        <v>18</v>
      </c>
      <c r="G16" s="27">
        <v>750</v>
      </c>
      <c r="H16" s="28"/>
      <c r="I16" s="29">
        <f>IF(AND($G16="",$H16=""),"",Jahresübersicht!$B$6+SUM($G$6:$G16)-SUM($H$6:$H16))</f>
        <v>5110.1000000000004</v>
      </c>
      <c r="J16" s="30"/>
    </row>
    <row r="17" spans="1:10" ht="18" customHeight="1" x14ac:dyDescent="0.25">
      <c r="A17" s="31">
        <f>IF($B17="","",COUNT($B$6:$B17))</f>
        <v>12</v>
      </c>
      <c r="B17" s="32">
        <v>46103</v>
      </c>
      <c r="C17" s="33" t="s">
        <v>45</v>
      </c>
      <c r="D17" s="34" t="s">
        <v>46</v>
      </c>
      <c r="E17" s="34" t="s">
        <v>47</v>
      </c>
      <c r="F17" s="33" t="s">
        <v>48</v>
      </c>
      <c r="G17" s="35"/>
      <c r="H17" s="36">
        <v>158.9</v>
      </c>
      <c r="I17" s="37">
        <f>IF(AND($G17="",$H17=""),"",Jahresübersicht!$B$6+SUM($G$6:$G17)-SUM($H$6:$H17))</f>
        <v>4951.2000000000007</v>
      </c>
      <c r="J17" s="38"/>
    </row>
    <row r="18" spans="1:10" ht="18" customHeight="1" x14ac:dyDescent="0.25">
      <c r="A18" s="23">
        <f>IF($B18="","",COUNT($B$6:$B18))</f>
        <v>13</v>
      </c>
      <c r="B18" s="24">
        <v>46116</v>
      </c>
      <c r="C18" s="25" t="s">
        <v>49</v>
      </c>
      <c r="D18" s="26" t="s">
        <v>50</v>
      </c>
      <c r="E18" s="26" t="s">
        <v>17</v>
      </c>
      <c r="F18" s="25" t="s">
        <v>18</v>
      </c>
      <c r="G18" s="39"/>
      <c r="H18" s="40">
        <v>420</v>
      </c>
      <c r="I18" s="29">
        <f>IF(AND($G18="",$H18=""),"",Jahresübersicht!$B$6+SUM($G$6:$G18)-SUM($H$6:$H18))</f>
        <v>4531.2000000000007</v>
      </c>
      <c r="J18" s="30"/>
    </row>
    <row r="19" spans="1:10" ht="18" customHeight="1" x14ac:dyDescent="0.25">
      <c r="A19" s="31">
        <f>IF($B19="","",COUNT($B$6:$B19))</f>
        <v>14</v>
      </c>
      <c r="B19" s="32">
        <v>46122</v>
      </c>
      <c r="C19" s="33" t="s">
        <v>51</v>
      </c>
      <c r="D19" s="34" t="s">
        <v>52</v>
      </c>
      <c r="E19" s="34" t="s">
        <v>53</v>
      </c>
      <c r="F19" s="33" t="s">
        <v>18</v>
      </c>
      <c r="G19" s="41">
        <v>1200</v>
      </c>
      <c r="H19" s="42"/>
      <c r="I19" s="37">
        <f>IF(AND($G19="",$H19=""),"",Jahresübersicht!$B$6+SUM($G$6:$G19)-SUM($H$6:$H19))</f>
        <v>5731.2000000000007</v>
      </c>
      <c r="J19" s="38"/>
    </row>
    <row r="20" spans="1:10" ht="18" customHeight="1" x14ac:dyDescent="0.25">
      <c r="A20" s="23">
        <f>IF($B20="","",COUNT($B$6:$B20))</f>
        <v>15</v>
      </c>
      <c r="B20" s="24">
        <v>46130</v>
      </c>
      <c r="C20" s="25" t="s">
        <v>54</v>
      </c>
      <c r="D20" s="26" t="s">
        <v>55</v>
      </c>
      <c r="E20" s="26" t="s">
        <v>21</v>
      </c>
      <c r="F20" s="25" t="s">
        <v>22</v>
      </c>
      <c r="G20" s="39"/>
      <c r="H20" s="40">
        <v>34.5</v>
      </c>
      <c r="I20" s="29">
        <f>IF(AND($G20="",$H20=""),"",Jahresübersicht!$B$6+SUM($G$6:$G20)-SUM($H$6:$H20))</f>
        <v>5696.7000000000007</v>
      </c>
      <c r="J20" s="30"/>
    </row>
    <row r="21" spans="1:10" ht="18" customHeight="1" x14ac:dyDescent="0.25">
      <c r="A21" s="31">
        <f>IF($B21="","",COUNT($B$6:$B21))</f>
        <v>16</v>
      </c>
      <c r="B21" s="32">
        <v>46148</v>
      </c>
      <c r="C21" s="33" t="s">
        <v>56</v>
      </c>
      <c r="D21" s="34" t="s">
        <v>57</v>
      </c>
      <c r="E21" s="34" t="s">
        <v>17</v>
      </c>
      <c r="F21" s="33" t="s">
        <v>18</v>
      </c>
      <c r="G21" s="35"/>
      <c r="H21" s="36">
        <v>420</v>
      </c>
      <c r="I21" s="37">
        <f>IF(AND($G21="",$H21=""),"",Jahresübersicht!$B$6+SUM($G$6:$G21)-SUM($H$6:$H21))</f>
        <v>5276.7000000000007</v>
      </c>
      <c r="J21" s="38"/>
    </row>
    <row r="22" spans="1:10" ht="18" customHeight="1" x14ac:dyDescent="0.25">
      <c r="A22" s="23">
        <f>IF($B22="","",COUNT($B$6:$B22))</f>
        <v>17</v>
      </c>
      <c r="B22" s="24">
        <v>46158</v>
      </c>
      <c r="C22" s="25" t="s">
        <v>58</v>
      </c>
      <c r="D22" s="26" t="s">
        <v>59</v>
      </c>
      <c r="E22" s="26" t="s">
        <v>13</v>
      </c>
      <c r="F22" s="25" t="s">
        <v>14</v>
      </c>
      <c r="G22" s="27">
        <v>1780</v>
      </c>
      <c r="H22" s="28"/>
      <c r="I22" s="29">
        <f>IF(AND($G22="",$H22=""),"",Jahresübersicht!$B$6+SUM($G$6:$G22)-SUM($H$6:$H22))</f>
        <v>7056.7000000000007</v>
      </c>
      <c r="J22" s="30"/>
    </row>
    <row r="23" spans="1:10" ht="18" customHeight="1" x14ac:dyDescent="0.25">
      <c r="A23" s="31">
        <f>IF($B23="","",COUNT($B$6:$B23))</f>
        <v>18</v>
      </c>
      <c r="B23" s="32">
        <v>46166</v>
      </c>
      <c r="C23" s="33" t="s">
        <v>60</v>
      </c>
      <c r="D23" s="34" t="s">
        <v>61</v>
      </c>
      <c r="E23" s="34" t="s">
        <v>62</v>
      </c>
      <c r="F23" s="33" t="s">
        <v>63</v>
      </c>
      <c r="G23" s="41">
        <v>246</v>
      </c>
      <c r="H23" s="42"/>
      <c r="I23" s="37">
        <f>IF(AND($G23="",$H23=""),"",Jahresübersicht!$B$6+SUM($G$6:$G23)-SUM($H$6:$H23))</f>
        <v>7302.7000000000007</v>
      </c>
      <c r="J23" s="38"/>
    </row>
    <row r="24" spans="1:10" ht="18" customHeight="1" x14ac:dyDescent="0.25">
      <c r="A24" s="23">
        <f>IF($B24="","",COUNT($B$6:$B24))</f>
        <v>19</v>
      </c>
      <c r="B24" s="24">
        <v>46176</v>
      </c>
      <c r="C24" s="25" t="s">
        <v>64</v>
      </c>
      <c r="D24" s="26" t="s">
        <v>65</v>
      </c>
      <c r="E24" s="26" t="s">
        <v>17</v>
      </c>
      <c r="F24" s="25" t="s">
        <v>18</v>
      </c>
      <c r="G24" s="39"/>
      <c r="H24" s="40">
        <v>420</v>
      </c>
      <c r="I24" s="29">
        <f>IF(AND($G24="",$H24=""),"",Jahresübersicht!$B$6+SUM($G$6:$G24)-SUM($H$6:$H24))</f>
        <v>6882.7000000000007</v>
      </c>
      <c r="J24" s="30"/>
    </row>
    <row r="25" spans="1:10" ht="18" customHeight="1" x14ac:dyDescent="0.25">
      <c r="A25" s="31">
        <f>IF($B25="","",COUNT($B$6:$B25))</f>
        <v>20</v>
      </c>
      <c r="B25" s="32">
        <v>46193</v>
      </c>
      <c r="C25" s="33" t="s">
        <v>66</v>
      </c>
      <c r="D25" s="34" t="s">
        <v>67</v>
      </c>
      <c r="E25" s="34" t="s">
        <v>33</v>
      </c>
      <c r="F25" s="33" t="s">
        <v>22</v>
      </c>
      <c r="G25" s="41">
        <v>1320</v>
      </c>
      <c r="H25" s="42"/>
      <c r="I25" s="37">
        <f>IF(AND($G25="",$H25=""),"",Jahresübersicht!$B$6+SUM($G$6:$G25)-SUM($H$6:$H25))</f>
        <v>8202.7000000000007</v>
      </c>
      <c r="J25" s="38"/>
    </row>
    <row r="26" spans="1:10" ht="18" customHeight="1" x14ac:dyDescent="0.25">
      <c r="A26" s="23">
        <f>IF($B26="","",COUNT($B$6:$B26))</f>
        <v>21</v>
      </c>
      <c r="B26" s="24">
        <v>46193</v>
      </c>
      <c r="C26" s="25" t="s">
        <v>68</v>
      </c>
      <c r="D26" s="26" t="s">
        <v>69</v>
      </c>
      <c r="E26" s="26" t="s">
        <v>36</v>
      </c>
      <c r="F26" s="25" t="s">
        <v>18</v>
      </c>
      <c r="G26" s="39"/>
      <c r="H26" s="40">
        <v>645.29999999999995</v>
      </c>
      <c r="I26" s="29">
        <f>IF(AND($G26="",$H26=""),"",Jahresübersicht!$B$6+SUM($G$6:$G26)-SUM($H$6:$H26))</f>
        <v>7557.4000000000005</v>
      </c>
      <c r="J26" s="30"/>
    </row>
    <row r="27" spans="1:10" ht="18" customHeight="1" x14ac:dyDescent="0.25">
      <c r="A27" s="31">
        <f>IF($B27="","",COUNT($B$6:$B27))</f>
        <v>22</v>
      </c>
      <c r="B27" s="32">
        <v>46203</v>
      </c>
      <c r="C27" s="33" t="s">
        <v>70</v>
      </c>
      <c r="D27" s="34" t="s">
        <v>71</v>
      </c>
      <c r="E27" s="34" t="s">
        <v>72</v>
      </c>
      <c r="F27" s="33" t="s">
        <v>14</v>
      </c>
      <c r="G27" s="35"/>
      <c r="H27" s="36">
        <v>42</v>
      </c>
      <c r="I27" s="37">
        <f>IF(AND($G27="",$H27=""),"",Jahresübersicht!$B$6+SUM($G$6:$G27)-SUM($H$6:$H27))</f>
        <v>7515.4000000000005</v>
      </c>
      <c r="J27" s="38"/>
    </row>
    <row r="28" spans="1:10" ht="18" customHeight="1" x14ac:dyDescent="0.25">
      <c r="A28" s="23">
        <f>IF($B28="","",COUNT($B$6:$B28))</f>
        <v>23</v>
      </c>
      <c r="B28" s="24">
        <v>46208</v>
      </c>
      <c r="C28" s="25" t="s">
        <v>73</v>
      </c>
      <c r="D28" s="26" t="s">
        <v>74</v>
      </c>
      <c r="E28" s="26" t="s">
        <v>17</v>
      </c>
      <c r="F28" s="25" t="s">
        <v>18</v>
      </c>
      <c r="G28" s="39"/>
      <c r="H28" s="40">
        <v>420</v>
      </c>
      <c r="I28" s="29">
        <f>IF(AND($G28="",$H28=""),"",Jahresübersicht!$B$6+SUM($G$6:$G28)-SUM($H$6:$H28))</f>
        <v>7095.4000000000005</v>
      </c>
      <c r="J28" s="30"/>
    </row>
    <row r="29" spans="1:10" ht="18" customHeight="1" x14ac:dyDescent="0.25">
      <c r="A29" s="31">
        <f>IF($B29="","",COUNT($B$6:$B29))</f>
        <v>24</v>
      </c>
      <c r="B29" s="32">
        <v>46222</v>
      </c>
      <c r="C29" s="33" t="s">
        <v>75</v>
      </c>
      <c r="D29" s="34" t="s">
        <v>76</v>
      </c>
      <c r="E29" s="34" t="s">
        <v>25</v>
      </c>
      <c r="F29" s="33" t="s">
        <v>22</v>
      </c>
      <c r="G29" s="41">
        <v>150</v>
      </c>
      <c r="H29" s="42"/>
      <c r="I29" s="37">
        <f>IF(AND($G29="",$H29=""),"",Jahresübersicht!$B$6+SUM($G$6:$G29)-SUM($H$6:$H29))</f>
        <v>7245.4000000000005</v>
      </c>
      <c r="J29" s="38"/>
    </row>
    <row r="30" spans="1:10" ht="18" customHeight="1" x14ac:dyDescent="0.25">
      <c r="A30" s="23">
        <f>IF($B30="","",COUNT($B$6:$B30))</f>
        <v>25</v>
      </c>
      <c r="B30" s="24">
        <v>46267</v>
      </c>
      <c r="C30" s="25" t="s">
        <v>77</v>
      </c>
      <c r="D30" s="26" t="s">
        <v>78</v>
      </c>
      <c r="E30" s="26" t="s">
        <v>17</v>
      </c>
      <c r="F30" s="25" t="s">
        <v>18</v>
      </c>
      <c r="G30" s="39"/>
      <c r="H30" s="40">
        <v>420</v>
      </c>
      <c r="I30" s="29">
        <f>IF(AND($G30="",$H30=""),"",Jahresübersicht!$B$6+SUM($G$6:$G30)-SUM($H$6:$H30))</f>
        <v>6825.4000000000005</v>
      </c>
      <c r="J30" s="30"/>
    </row>
    <row r="31" spans="1:10" ht="18" customHeight="1" x14ac:dyDescent="0.25">
      <c r="A31" s="31">
        <f>IF($B31="","",COUNT($B$6:$B31))</f>
        <v>26</v>
      </c>
      <c r="B31" s="32">
        <v>46277</v>
      </c>
      <c r="C31" s="33" t="s">
        <v>79</v>
      </c>
      <c r="D31" s="34" t="s">
        <v>80</v>
      </c>
      <c r="E31" s="34" t="s">
        <v>81</v>
      </c>
      <c r="F31" s="33" t="s">
        <v>48</v>
      </c>
      <c r="G31" s="35"/>
      <c r="H31" s="36">
        <v>213.75</v>
      </c>
      <c r="I31" s="37">
        <f>IF(AND($G31="",$H31=""),"",Jahresübersicht!$B$6+SUM($G$6:$G31)-SUM($H$6:$H31))</f>
        <v>6611.6500000000005</v>
      </c>
      <c r="J31" s="38"/>
    </row>
    <row r="32" spans="1:10" ht="18" customHeight="1" x14ac:dyDescent="0.25">
      <c r="A32" s="23">
        <f>IF($B32="","",COUNT($B$6:$B32))</f>
        <v>27</v>
      </c>
      <c r="B32" s="24">
        <v>46293</v>
      </c>
      <c r="C32" s="25" t="s">
        <v>82</v>
      </c>
      <c r="D32" s="26" t="s">
        <v>83</v>
      </c>
      <c r="E32" s="26" t="s">
        <v>13</v>
      </c>
      <c r="F32" s="25" t="s">
        <v>14</v>
      </c>
      <c r="G32" s="27">
        <v>1760</v>
      </c>
      <c r="H32" s="28"/>
      <c r="I32" s="29">
        <f>IF(AND($G32="",$H32=""),"",Jahresübersicht!$B$6+SUM($G$6:$G32)-SUM($H$6:$H32))</f>
        <v>8371.6500000000015</v>
      </c>
      <c r="J32" s="30"/>
    </row>
    <row r="33" spans="1:10" ht="18" customHeight="1" x14ac:dyDescent="0.25">
      <c r="A33" s="31">
        <f>IF($B33="","",COUNT($B$6:$B33))</f>
        <v>28</v>
      </c>
      <c r="B33" s="32">
        <v>46302</v>
      </c>
      <c r="C33" s="33" t="s">
        <v>84</v>
      </c>
      <c r="D33" s="34" t="s">
        <v>85</v>
      </c>
      <c r="E33" s="34" t="s">
        <v>17</v>
      </c>
      <c r="F33" s="33" t="s">
        <v>18</v>
      </c>
      <c r="G33" s="35"/>
      <c r="H33" s="36">
        <v>420</v>
      </c>
      <c r="I33" s="37">
        <f>IF(AND($G33="",$H33=""),"",Jahresübersicht!$B$6+SUM($G$6:$G33)-SUM($H$6:$H33))</f>
        <v>7951.6500000000005</v>
      </c>
      <c r="J33" s="38"/>
    </row>
    <row r="34" spans="1:10" ht="18" customHeight="1" x14ac:dyDescent="0.25">
      <c r="A34" s="23">
        <f>IF($B34="","",COUNT($B$6:$B34))</f>
        <v>29</v>
      </c>
      <c r="B34" s="24">
        <v>46310</v>
      </c>
      <c r="C34" s="25" t="s">
        <v>86</v>
      </c>
      <c r="D34" s="26" t="s">
        <v>87</v>
      </c>
      <c r="E34" s="26" t="s">
        <v>88</v>
      </c>
      <c r="F34" s="25" t="s">
        <v>18</v>
      </c>
      <c r="G34" s="27">
        <v>12.45</v>
      </c>
      <c r="H34" s="28"/>
      <c r="I34" s="29">
        <f>IF(AND($G34="",$H34=""),"",Jahresübersicht!$B$6+SUM($G$6:$G34)-SUM($H$6:$H34))</f>
        <v>7964.1000000000013</v>
      </c>
      <c r="J34" s="30"/>
    </row>
    <row r="35" spans="1:10" ht="18" customHeight="1" x14ac:dyDescent="0.25">
      <c r="A35" s="31">
        <f>IF($B35="","",COUNT($B$6:$B35))</f>
        <v>30</v>
      </c>
      <c r="B35" s="32">
        <v>46347</v>
      </c>
      <c r="C35" s="33" t="s">
        <v>89</v>
      </c>
      <c r="D35" s="34" t="s">
        <v>90</v>
      </c>
      <c r="E35" s="34" t="s">
        <v>33</v>
      </c>
      <c r="F35" s="33" t="s">
        <v>22</v>
      </c>
      <c r="G35" s="41">
        <v>543.20000000000005</v>
      </c>
      <c r="H35" s="42"/>
      <c r="I35" s="37">
        <f>IF(AND($G35="",$H35=""),"",Jahresübersicht!$B$6+SUM($G$6:$G35)-SUM($H$6:$H35))</f>
        <v>8507.3000000000029</v>
      </c>
      <c r="J35" s="38"/>
    </row>
    <row r="36" spans="1:10" ht="18" customHeight="1" x14ac:dyDescent="0.25">
      <c r="A36" s="23">
        <f>IF($B36="","",COUNT($B$6:$B36))</f>
        <v>31</v>
      </c>
      <c r="B36" s="24">
        <v>46361</v>
      </c>
      <c r="C36" s="25" t="s">
        <v>91</v>
      </c>
      <c r="D36" s="26" t="s">
        <v>92</v>
      </c>
      <c r="E36" s="26" t="s">
        <v>17</v>
      </c>
      <c r="F36" s="25" t="s">
        <v>18</v>
      </c>
      <c r="G36" s="39"/>
      <c r="H36" s="40">
        <v>420</v>
      </c>
      <c r="I36" s="29">
        <f>IF(AND($G36="",$H36=""),"",Jahresübersicht!$B$6+SUM($G$6:$G36)-SUM($H$6:$H36))</f>
        <v>8087.300000000002</v>
      </c>
      <c r="J36" s="30"/>
    </row>
    <row r="37" spans="1:10" ht="18" customHeight="1" x14ac:dyDescent="0.25">
      <c r="A37" s="31">
        <f>IF($B37="","",COUNT($B$6:$B37))</f>
        <v>32</v>
      </c>
      <c r="B37" s="32">
        <v>46368</v>
      </c>
      <c r="C37" s="33" t="s">
        <v>93</v>
      </c>
      <c r="D37" s="34" t="s">
        <v>94</v>
      </c>
      <c r="E37" s="34" t="s">
        <v>95</v>
      </c>
      <c r="F37" s="33" t="s">
        <v>22</v>
      </c>
      <c r="G37" s="35"/>
      <c r="H37" s="36">
        <v>268.60000000000002</v>
      </c>
      <c r="I37" s="37">
        <f>IF(AND($G37="",$H37=""),"",Jahresübersicht!$B$6+SUM($G$6:$G37)-SUM($H$6:$H37))</f>
        <v>7818.7000000000016</v>
      </c>
      <c r="J37" s="38"/>
    </row>
    <row r="38" spans="1:10" ht="18" customHeight="1" x14ac:dyDescent="0.25">
      <c r="A38" s="23">
        <f>IF($B38="","",COUNT($B$6:$B38))</f>
        <v>33</v>
      </c>
      <c r="B38" s="24">
        <v>46374</v>
      </c>
      <c r="C38" s="25" t="s">
        <v>96</v>
      </c>
      <c r="D38" s="26" t="s">
        <v>97</v>
      </c>
      <c r="E38" s="26" t="s">
        <v>25</v>
      </c>
      <c r="F38" s="25" t="s">
        <v>18</v>
      </c>
      <c r="G38" s="27">
        <v>300</v>
      </c>
      <c r="H38" s="28"/>
      <c r="I38" s="29">
        <f>IF(AND($G38="",$H38=""),"",Jahresübersicht!$B$6+SUM($G$6:$G38)-SUM($H$6:$H38))</f>
        <v>8118.7000000000016</v>
      </c>
      <c r="J38" s="30"/>
    </row>
    <row r="39" spans="1:10" ht="18" customHeight="1" x14ac:dyDescent="0.25">
      <c r="A39" s="31" t="str">
        <f>IF($B39="","",COUNT($B$6:$B39))</f>
        <v/>
      </c>
      <c r="B39" s="33"/>
      <c r="C39" s="33"/>
      <c r="D39" s="34"/>
      <c r="E39" s="34"/>
      <c r="F39" s="33"/>
      <c r="G39" s="35"/>
      <c r="H39" s="42"/>
      <c r="I39" s="37" t="str">
        <f>IF(AND($G39="",$H39=""),"",Jahresübersicht!$B$6+SUM($G$6:$G39)-SUM($H$6:$H39))</f>
        <v/>
      </c>
      <c r="J39" s="38"/>
    </row>
    <row r="40" spans="1:10" ht="18" customHeight="1" x14ac:dyDescent="0.25">
      <c r="A40" s="23" t="str">
        <f>IF($B40="","",COUNT($B$6:$B40))</f>
        <v/>
      </c>
      <c r="B40" s="25"/>
      <c r="C40" s="25"/>
      <c r="D40" s="26"/>
      <c r="E40" s="26"/>
      <c r="F40" s="25"/>
      <c r="G40" s="39"/>
      <c r="H40" s="28"/>
      <c r="I40" s="29" t="str">
        <f>IF(AND($G40="",$H40=""),"",Jahresübersicht!$B$6+SUM($G$6:$G40)-SUM($H$6:$H40))</f>
        <v/>
      </c>
      <c r="J40" s="30"/>
    </row>
    <row r="41" spans="1:10" ht="18" customHeight="1" x14ac:dyDescent="0.25">
      <c r="A41" s="31" t="str">
        <f>IF($B41="","",COUNT($B$6:$B41))</f>
        <v/>
      </c>
      <c r="B41" s="33"/>
      <c r="C41" s="33"/>
      <c r="D41" s="34"/>
      <c r="E41" s="34"/>
      <c r="F41" s="33"/>
      <c r="G41" s="35"/>
      <c r="H41" s="42"/>
      <c r="I41" s="37" t="str">
        <f>IF(AND($G41="",$H41=""),"",Jahresübersicht!$B$6+SUM($G$6:$G41)-SUM($H$6:$H41))</f>
        <v/>
      </c>
      <c r="J41" s="38"/>
    </row>
    <row r="42" spans="1:10" ht="18" customHeight="1" x14ac:dyDescent="0.25">
      <c r="A42" s="23" t="str">
        <f>IF($B42="","",COUNT($B$6:$B42))</f>
        <v/>
      </c>
      <c r="B42" s="25"/>
      <c r="C42" s="25"/>
      <c r="D42" s="26"/>
      <c r="E42" s="26"/>
      <c r="F42" s="25"/>
      <c r="G42" s="39"/>
      <c r="H42" s="28"/>
      <c r="I42" s="29" t="str">
        <f>IF(AND($G42="",$H42=""),"",Jahresübersicht!$B$6+SUM($G$6:$G42)-SUM($H$6:$H42))</f>
        <v/>
      </c>
      <c r="J42" s="30"/>
    </row>
    <row r="43" spans="1:10" ht="18" customHeight="1" x14ac:dyDescent="0.25">
      <c r="A43" s="31" t="str">
        <f>IF($B43="","",COUNT($B$6:$B43))</f>
        <v/>
      </c>
      <c r="B43" s="33"/>
      <c r="C43" s="33"/>
      <c r="D43" s="34"/>
      <c r="E43" s="34"/>
      <c r="F43" s="33"/>
      <c r="G43" s="35"/>
      <c r="H43" s="42"/>
      <c r="I43" s="37" t="str">
        <f>IF(AND($G43="",$H43=""),"",Jahresübersicht!$B$6+SUM($G$6:$G43)-SUM($H$6:$H43))</f>
        <v/>
      </c>
      <c r="J43" s="38"/>
    </row>
    <row r="44" spans="1:10" ht="18" customHeight="1" x14ac:dyDescent="0.25">
      <c r="A44" s="23" t="str">
        <f>IF($B44="","",COUNT($B$6:$B44))</f>
        <v/>
      </c>
      <c r="B44" s="25"/>
      <c r="C44" s="25"/>
      <c r="D44" s="26"/>
      <c r="E44" s="26"/>
      <c r="F44" s="25"/>
      <c r="G44" s="39"/>
      <c r="H44" s="28"/>
      <c r="I44" s="29" t="str">
        <f>IF(AND($G44="",$H44=""),"",Jahresübersicht!$B$6+SUM($G$6:$G44)-SUM($H$6:$H44))</f>
        <v/>
      </c>
      <c r="J44" s="30"/>
    </row>
    <row r="45" spans="1:10" ht="18" customHeight="1" x14ac:dyDescent="0.25">
      <c r="A45" s="31" t="str">
        <f>IF($B45="","",COUNT($B$6:$B45))</f>
        <v/>
      </c>
      <c r="B45" s="33"/>
      <c r="C45" s="33"/>
      <c r="D45" s="34"/>
      <c r="E45" s="34"/>
      <c r="F45" s="33"/>
      <c r="G45" s="35"/>
      <c r="H45" s="42"/>
      <c r="I45" s="37" t="str">
        <f>IF(AND($G45="",$H45=""),"",Jahresübersicht!$B$6+SUM($G$6:$G45)-SUM($H$6:$H45))</f>
        <v/>
      </c>
      <c r="J45" s="38"/>
    </row>
    <row r="46" spans="1:10" ht="18" customHeight="1" x14ac:dyDescent="0.25">
      <c r="A46" s="23" t="str">
        <f>IF($B46="","",COUNT($B$6:$B46))</f>
        <v/>
      </c>
      <c r="B46" s="25"/>
      <c r="C46" s="25"/>
      <c r="D46" s="26"/>
      <c r="E46" s="26"/>
      <c r="F46" s="25"/>
      <c r="G46" s="39"/>
      <c r="H46" s="28"/>
      <c r="I46" s="29" t="str">
        <f>IF(AND($G46="",$H46=""),"",Jahresübersicht!$B$6+SUM($G$6:$G46)-SUM($H$6:$H46))</f>
        <v/>
      </c>
      <c r="J46" s="30"/>
    </row>
    <row r="47" spans="1:10" ht="18" customHeight="1" x14ac:dyDescent="0.25">
      <c r="A47" s="31" t="str">
        <f>IF($B47="","",COUNT($B$6:$B47))</f>
        <v/>
      </c>
      <c r="B47" s="33"/>
      <c r="C47" s="33"/>
      <c r="D47" s="34"/>
      <c r="E47" s="34"/>
      <c r="F47" s="33"/>
      <c r="G47" s="35"/>
      <c r="H47" s="42"/>
      <c r="I47" s="37" t="str">
        <f>IF(AND($G47="",$H47=""),"",Jahresübersicht!$B$6+SUM($G$6:$G47)-SUM($H$6:$H47))</f>
        <v/>
      </c>
      <c r="J47" s="38"/>
    </row>
    <row r="48" spans="1:10" ht="18" customHeight="1" x14ac:dyDescent="0.25">
      <c r="A48" s="23" t="str">
        <f>IF($B48="","",COUNT($B$6:$B48))</f>
        <v/>
      </c>
      <c r="B48" s="25"/>
      <c r="C48" s="25"/>
      <c r="D48" s="26"/>
      <c r="E48" s="26"/>
      <c r="F48" s="25"/>
      <c r="G48" s="39"/>
      <c r="H48" s="28"/>
      <c r="I48" s="29" t="str">
        <f>IF(AND($G48="",$H48=""),"",Jahresübersicht!$B$6+SUM($G$6:$G48)-SUM($H$6:$H48))</f>
        <v/>
      </c>
      <c r="J48" s="30"/>
    </row>
    <row r="49" spans="1:10" ht="18" customHeight="1" x14ac:dyDescent="0.25">
      <c r="A49" s="31" t="str">
        <f>IF($B49="","",COUNT($B$6:$B49))</f>
        <v/>
      </c>
      <c r="B49" s="33"/>
      <c r="C49" s="33"/>
      <c r="D49" s="34"/>
      <c r="E49" s="34"/>
      <c r="F49" s="33"/>
      <c r="G49" s="35"/>
      <c r="H49" s="42"/>
      <c r="I49" s="37" t="str">
        <f>IF(AND($G49="",$H49=""),"",Jahresübersicht!$B$6+SUM($G$6:$G49)-SUM($H$6:$H49))</f>
        <v/>
      </c>
      <c r="J49" s="38"/>
    </row>
    <row r="50" spans="1:10" ht="18" customHeight="1" x14ac:dyDescent="0.25">
      <c r="A50" s="23" t="str">
        <f>IF($B50="","",COUNT($B$6:$B50))</f>
        <v/>
      </c>
      <c r="B50" s="25"/>
      <c r="C50" s="25"/>
      <c r="D50" s="26"/>
      <c r="E50" s="26"/>
      <c r="F50" s="25"/>
      <c r="G50" s="39"/>
      <c r="H50" s="28"/>
      <c r="I50" s="29" t="str">
        <f>IF(AND($G50="",$H50=""),"",Jahresübersicht!$B$6+SUM($G$6:$G50)-SUM($H$6:$H50))</f>
        <v/>
      </c>
      <c r="J50" s="30"/>
    </row>
    <row r="51" spans="1:10" ht="18" customHeight="1" x14ac:dyDescent="0.25">
      <c r="A51" s="31" t="str">
        <f>IF($B51="","",COUNT($B$6:$B51))</f>
        <v/>
      </c>
      <c r="B51" s="33"/>
      <c r="C51" s="33"/>
      <c r="D51" s="34"/>
      <c r="E51" s="34"/>
      <c r="F51" s="33"/>
      <c r="G51" s="35"/>
      <c r="H51" s="42"/>
      <c r="I51" s="37" t="str">
        <f>IF(AND($G51="",$H51=""),"",Jahresübersicht!$B$6+SUM($G$6:$G51)-SUM($H$6:$H51))</f>
        <v/>
      </c>
      <c r="J51" s="38"/>
    </row>
    <row r="52" spans="1:10" ht="18" customHeight="1" x14ac:dyDescent="0.25">
      <c r="A52" s="23" t="str">
        <f>IF($B52="","",COUNT($B$6:$B52))</f>
        <v/>
      </c>
      <c r="B52" s="25"/>
      <c r="C52" s="25"/>
      <c r="D52" s="26"/>
      <c r="E52" s="26"/>
      <c r="F52" s="25"/>
      <c r="G52" s="39"/>
      <c r="H52" s="28"/>
      <c r="I52" s="29" t="str">
        <f>IF(AND($G52="",$H52=""),"",Jahresübersicht!$B$6+SUM($G$6:$G52)-SUM($H$6:$H52))</f>
        <v/>
      </c>
      <c r="J52" s="30"/>
    </row>
    <row r="53" spans="1:10" ht="18" customHeight="1" x14ac:dyDescent="0.25">
      <c r="A53" s="31" t="str">
        <f>IF($B53="","",COUNT($B$6:$B53))</f>
        <v/>
      </c>
      <c r="B53" s="33"/>
      <c r="C53" s="33"/>
      <c r="D53" s="34"/>
      <c r="E53" s="34"/>
      <c r="F53" s="33"/>
      <c r="G53" s="35"/>
      <c r="H53" s="42"/>
      <c r="I53" s="37" t="str">
        <f>IF(AND($G53="",$H53=""),"",Jahresübersicht!$B$6+SUM($G$6:$G53)-SUM($H$6:$H53))</f>
        <v/>
      </c>
      <c r="J53" s="38"/>
    </row>
    <row r="54" spans="1:10" ht="24" customHeight="1" x14ac:dyDescent="0.25">
      <c r="A54" s="43"/>
      <c r="B54" s="43"/>
      <c r="C54" s="43"/>
      <c r="D54" s="44" t="s">
        <v>98</v>
      </c>
      <c r="E54" s="43"/>
      <c r="F54" s="43"/>
      <c r="G54" s="45">
        <f>SUM($G$6:$G$53)</f>
        <v>11167.150000000001</v>
      </c>
      <c r="H54" s="45">
        <f>SUM($H$6:$H$53)</f>
        <v>6298.45</v>
      </c>
      <c r="I54" s="46">
        <f>Jahresübersicht!$B$6+G54-H54</f>
        <v>8118.7000000000016</v>
      </c>
      <c r="J54" s="43"/>
    </row>
  </sheetData>
  <mergeCells count="2">
    <mergeCell ref="A1:J1"/>
    <mergeCell ref="A2:J2"/>
  </mergeCells>
  <conditionalFormatting sqref="C6:C53">
    <cfRule type="expression" dxfId="1" priority="3">
      <formula>AND($B6&lt;&gt;"",$C6="")</formula>
    </cfRule>
  </conditionalFormatting>
  <conditionalFormatting sqref="I5:I53">
    <cfRule type="cellIs" dxfId="0" priority="2" operator="lessThan">
      <formula>0</formula>
    </cfRule>
  </conditionalFormatting>
  <dataValidations count="2">
    <dataValidation type="list" allowBlank="1" showErrorMessage="1" errorTitle="Ungültige Kategorie" error="Bitte eine Kategorie aus der Liste wählen." sqref="E6:E53" xr:uid="{00000000-0002-0000-0000-000000000000}">
      <formula1>KAT_ALLE</formula1>
      <formula2>0</formula2>
    </dataValidation>
    <dataValidation type="list" allowBlank="1" showErrorMessage="1" errorTitle="Ungültige Zahlungsart" error="Bitte eine Zahlungsart aus der Liste wählen." sqref="F6:F53" xr:uid="{00000000-0002-0000-0000-000001000000}">
      <formula1>ZAHLARTEN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4636A"/>
  </sheetPr>
  <dimension ref="A1:H50"/>
  <sheetViews>
    <sheetView showGridLines="0" zoomScaleNormal="100" workbookViewId="0"/>
  </sheetViews>
  <sheetFormatPr baseColWidth="10" defaultColWidth="8.7109375" defaultRowHeight="15" x14ac:dyDescent="0.25"/>
  <cols>
    <col min="1" max="1" width="22" customWidth="1"/>
    <col min="2" max="4" width="15" customWidth="1"/>
    <col min="5" max="5" width="18" customWidth="1"/>
    <col min="6" max="6" width="22" customWidth="1"/>
    <col min="7" max="7" width="13" customWidth="1"/>
    <col min="8" max="8" width="11" customWidth="1"/>
  </cols>
  <sheetData>
    <row r="1" spans="1:8" ht="43.5" customHeight="1" x14ac:dyDescent="0.25">
      <c r="A1" s="11" t="s">
        <v>99</v>
      </c>
      <c r="B1" s="11"/>
      <c r="C1" s="11"/>
      <c r="D1" s="11"/>
      <c r="E1" s="11"/>
      <c r="F1" s="11"/>
      <c r="G1" s="11"/>
      <c r="H1" s="11"/>
    </row>
    <row r="2" spans="1:8" ht="21.75" customHeight="1" x14ac:dyDescent="0.25">
      <c r="A2" s="12" t="s">
        <v>100</v>
      </c>
      <c r="B2" s="12"/>
      <c r="C2" s="12"/>
      <c r="D2" s="12"/>
      <c r="E2" s="12"/>
      <c r="F2" s="12"/>
      <c r="G2" s="12"/>
      <c r="H2" s="12"/>
    </row>
    <row r="4" spans="1:8" ht="19.5" customHeight="1" x14ac:dyDescent="0.25">
      <c r="A4" s="47" t="s">
        <v>101</v>
      </c>
      <c r="B4" s="10" t="s">
        <v>102</v>
      </c>
      <c r="C4" s="10"/>
      <c r="D4" s="10"/>
      <c r="F4" s="47" t="s">
        <v>103</v>
      </c>
      <c r="G4" s="49">
        <v>2026</v>
      </c>
    </row>
    <row r="5" spans="1:8" ht="19.5" customHeight="1" x14ac:dyDescent="0.25">
      <c r="A5" s="47" t="s">
        <v>104</v>
      </c>
      <c r="B5" s="10" t="s">
        <v>105</v>
      </c>
      <c r="C5" s="10"/>
      <c r="D5" s="10"/>
      <c r="F5" s="47" t="s">
        <v>106</v>
      </c>
      <c r="G5" s="50">
        <v>46023</v>
      </c>
    </row>
    <row r="6" spans="1:8" ht="19.5" customHeight="1" x14ac:dyDescent="0.25">
      <c r="A6" s="47" t="s">
        <v>107</v>
      </c>
      <c r="B6" s="51">
        <v>3250</v>
      </c>
      <c r="F6" s="47" t="s">
        <v>108</v>
      </c>
      <c r="G6" s="48" t="s">
        <v>109</v>
      </c>
    </row>
    <row r="8" spans="1:8" ht="18" customHeight="1" x14ac:dyDescent="0.25">
      <c r="A8" s="9" t="s">
        <v>110</v>
      </c>
      <c r="B8" s="9"/>
      <c r="C8" s="9" t="s">
        <v>111</v>
      </c>
      <c r="D8" s="9"/>
      <c r="E8" s="9" t="s">
        <v>112</v>
      </c>
      <c r="F8" s="9"/>
      <c r="G8" s="9" t="s">
        <v>113</v>
      </c>
      <c r="H8" s="9"/>
    </row>
    <row r="9" spans="1:8" ht="30" customHeight="1" x14ac:dyDescent="0.25">
      <c r="A9" s="8">
        <f>SUM(Kassenbuch!$G$6:$G$53)</f>
        <v>11167.150000000001</v>
      </c>
      <c r="B9" s="8"/>
      <c r="C9" s="7">
        <f>SUM(Kassenbuch!$H$6:$H$53)</f>
        <v>6298.45</v>
      </c>
      <c r="D9" s="7"/>
      <c r="E9" s="6">
        <f>SUM(Kassenbuch!$G$6:$G$53)-SUM(Kassenbuch!$H$6:$H$53)</f>
        <v>4868.7000000000016</v>
      </c>
      <c r="F9" s="6"/>
      <c r="G9" s="6">
        <f>$B$6+SUM(Kassenbuch!$G$6:$G$53)-SUM(Kassenbuch!$H$6:$H$53)</f>
        <v>8118.7000000000016</v>
      </c>
      <c r="H9" s="6"/>
    </row>
    <row r="11" spans="1:8" ht="25.5" customHeight="1" x14ac:dyDescent="0.25">
      <c r="A11" s="14" t="s">
        <v>114</v>
      </c>
      <c r="B11" s="14" t="s">
        <v>115</v>
      </c>
      <c r="C11" s="14" t="s">
        <v>116</v>
      </c>
      <c r="D11" s="14" t="s">
        <v>117</v>
      </c>
      <c r="E11" s="14" t="s">
        <v>118</v>
      </c>
      <c r="F11" s="5" t="s">
        <v>119</v>
      </c>
      <c r="G11" s="5"/>
      <c r="H11" s="5"/>
    </row>
    <row r="12" spans="1:8" ht="16.5" customHeight="1" x14ac:dyDescent="0.25">
      <c r="A12" s="52">
        <f>DATE($G$4,1,1)</f>
        <v>46023</v>
      </c>
      <c r="B12" s="41">
        <f>SUMIFS(Kassenbuch!$G:$G,Kassenbuch!$B:$B,"&gt;="&amp;$A12,Kassenbuch!$B:$B,"&lt;="&amp;EOMONTH($A12,0))</f>
        <v>2340</v>
      </c>
      <c r="C12" s="36">
        <f>SUMIFS(Kassenbuch!$H:$H,Kassenbuch!$B:$B,"&gt;="&amp;$A12,Kassenbuch!$B:$B,"&lt;="&amp;EOMONTH($A12,0))</f>
        <v>467.8</v>
      </c>
      <c r="D12" s="53">
        <f t="shared" ref="D12:D24" si="0">B12-C12</f>
        <v>1872.2</v>
      </c>
      <c r="E12" s="53">
        <f>$B$6+SUM($B$12:B12)-SUM($C$12:C12)</f>
        <v>5122.2</v>
      </c>
      <c r="F12" s="34" t="s">
        <v>13</v>
      </c>
      <c r="G12" s="41">
        <f>SUMIF(Kassenbuch!$E:$E,$F12,Kassenbuch!$G:$G)</f>
        <v>5380</v>
      </c>
      <c r="H12" s="54">
        <f t="shared" ref="H12:H19" si="1">IFERROR($G12/$A$9,0)</f>
        <v>0.48177019203646404</v>
      </c>
    </row>
    <row r="13" spans="1:8" ht="16.5" customHeight="1" x14ac:dyDescent="0.25">
      <c r="A13" s="55">
        <f>DATE($G$4,2,1)</f>
        <v>46054</v>
      </c>
      <c r="B13" s="27">
        <f>SUMIFS(Kassenbuch!$G:$G,Kassenbuch!$B:$B,"&gt;="&amp;$A13,Kassenbuch!$B:$B,"&lt;="&amp;EOMONTH($A13,0))</f>
        <v>765.5</v>
      </c>
      <c r="C13" s="40">
        <f>SUMIFS(Kassenbuch!$H:$H,Kassenbuch!$B:$B,"&gt;="&amp;$A13,Kassenbuch!$B:$B,"&lt;="&amp;EOMONTH($A13,0))</f>
        <v>1107.5999999999999</v>
      </c>
      <c r="D13" s="56">
        <f t="shared" si="0"/>
        <v>-342.09999999999991</v>
      </c>
      <c r="E13" s="56">
        <f>$B$6+SUM($B$12:B13)-SUM($C$12:C13)</f>
        <v>4780.1000000000004</v>
      </c>
      <c r="F13" s="26" t="s">
        <v>25</v>
      </c>
      <c r="G13" s="27">
        <f>SUMIF(Kassenbuch!$E:$E,$F13,Kassenbuch!$G:$G)</f>
        <v>950</v>
      </c>
      <c r="H13" s="57">
        <f t="shared" si="1"/>
        <v>8.507094469045369E-2</v>
      </c>
    </row>
    <row r="14" spans="1:8" ht="16.5" customHeight="1" x14ac:dyDescent="0.25">
      <c r="A14" s="52">
        <f>DATE($G$4,3,1)</f>
        <v>46082</v>
      </c>
      <c r="B14" s="41">
        <f>SUMIFS(Kassenbuch!$G:$G,Kassenbuch!$B:$B,"&gt;="&amp;$A14,Kassenbuch!$B:$B,"&lt;="&amp;EOMONTH($A14,0))</f>
        <v>750</v>
      </c>
      <c r="C14" s="36">
        <f>SUMIFS(Kassenbuch!$H:$H,Kassenbuch!$B:$B,"&gt;="&amp;$A14,Kassenbuch!$B:$B,"&lt;="&amp;EOMONTH($A14,0))</f>
        <v>578.9</v>
      </c>
      <c r="D14" s="53">
        <f t="shared" si="0"/>
        <v>171.10000000000002</v>
      </c>
      <c r="E14" s="53">
        <f>$B$6+SUM($B$12:B14)-SUM($C$12:C14)</f>
        <v>4951.2000000000007</v>
      </c>
      <c r="F14" s="34" t="s">
        <v>53</v>
      </c>
      <c r="G14" s="41">
        <f>SUMIF(Kassenbuch!$E:$E,$F14,Kassenbuch!$G:$G)</f>
        <v>1200</v>
      </c>
      <c r="H14" s="54">
        <f t="shared" si="1"/>
        <v>0.10745803539846781</v>
      </c>
    </row>
    <row r="15" spans="1:8" ht="16.5" customHeight="1" x14ac:dyDescent="0.25">
      <c r="A15" s="55">
        <f>DATE($G$4,4,1)</f>
        <v>46113</v>
      </c>
      <c r="B15" s="27">
        <f>SUMIFS(Kassenbuch!$G:$G,Kassenbuch!$B:$B,"&gt;="&amp;$A15,Kassenbuch!$B:$B,"&lt;="&amp;EOMONTH($A15,0))</f>
        <v>1200</v>
      </c>
      <c r="C15" s="40">
        <f>SUMIFS(Kassenbuch!$H:$H,Kassenbuch!$B:$B,"&gt;="&amp;$A15,Kassenbuch!$B:$B,"&lt;="&amp;EOMONTH($A15,0))</f>
        <v>454.5</v>
      </c>
      <c r="D15" s="56">
        <f t="shared" si="0"/>
        <v>745.5</v>
      </c>
      <c r="E15" s="56">
        <f>$B$6+SUM($B$12:B15)-SUM($C$12:C15)</f>
        <v>5696.7000000000007</v>
      </c>
      <c r="F15" s="26" t="s">
        <v>44</v>
      </c>
      <c r="G15" s="27">
        <f>SUMIF(Kassenbuch!$E:$E,$F15,Kassenbuch!$G:$G)</f>
        <v>750</v>
      </c>
      <c r="H15" s="57">
        <f t="shared" si="1"/>
        <v>6.7161272124042382E-2</v>
      </c>
    </row>
    <row r="16" spans="1:8" ht="16.5" customHeight="1" x14ac:dyDescent="0.25">
      <c r="A16" s="52">
        <f>DATE($G$4,5,1)</f>
        <v>46143</v>
      </c>
      <c r="B16" s="41">
        <f>SUMIFS(Kassenbuch!$G:$G,Kassenbuch!$B:$B,"&gt;="&amp;$A16,Kassenbuch!$B:$B,"&lt;="&amp;EOMONTH($A16,0))</f>
        <v>2026</v>
      </c>
      <c r="C16" s="36">
        <f>SUMIFS(Kassenbuch!$H:$H,Kassenbuch!$B:$B,"&gt;="&amp;$A16,Kassenbuch!$B:$B,"&lt;="&amp;EOMONTH($A16,0))</f>
        <v>420</v>
      </c>
      <c r="D16" s="53">
        <f t="shared" si="0"/>
        <v>1606</v>
      </c>
      <c r="E16" s="53">
        <f>$B$6+SUM($B$12:B16)-SUM($C$12:C16)</f>
        <v>7302.7000000000007</v>
      </c>
      <c r="F16" s="34" t="s">
        <v>33</v>
      </c>
      <c r="G16" s="41">
        <f>SUMIF(Kassenbuch!$E:$E,$F16,Kassenbuch!$G:$G)</f>
        <v>2628.7</v>
      </c>
      <c r="H16" s="54">
        <f t="shared" si="1"/>
        <v>0.23539578137662692</v>
      </c>
    </row>
    <row r="17" spans="1:8" ht="16.5" customHeight="1" x14ac:dyDescent="0.25">
      <c r="A17" s="55">
        <f>DATE($G$4,6,1)</f>
        <v>46174</v>
      </c>
      <c r="B17" s="27">
        <f>SUMIFS(Kassenbuch!$G:$G,Kassenbuch!$B:$B,"&gt;="&amp;$A17,Kassenbuch!$B:$B,"&lt;="&amp;EOMONTH($A17,0))</f>
        <v>1320</v>
      </c>
      <c r="C17" s="40">
        <f>SUMIFS(Kassenbuch!$H:$H,Kassenbuch!$B:$B,"&gt;="&amp;$A17,Kassenbuch!$B:$B,"&lt;="&amp;EOMONTH($A17,0))</f>
        <v>1107.3</v>
      </c>
      <c r="D17" s="56">
        <f t="shared" si="0"/>
        <v>212.70000000000005</v>
      </c>
      <c r="E17" s="56">
        <f>$B$6+SUM($B$12:B17)-SUM($C$12:C17)</f>
        <v>7515.4000000000005</v>
      </c>
      <c r="F17" s="26" t="s">
        <v>62</v>
      </c>
      <c r="G17" s="27">
        <f>SUMIF(Kassenbuch!$E:$E,$F17,Kassenbuch!$G:$G)</f>
        <v>246</v>
      </c>
      <c r="H17" s="57">
        <f t="shared" si="1"/>
        <v>2.20288972566859E-2</v>
      </c>
    </row>
    <row r="18" spans="1:8" ht="16.5" customHeight="1" x14ac:dyDescent="0.25">
      <c r="A18" s="52">
        <f>DATE($G$4,7,1)</f>
        <v>46204</v>
      </c>
      <c r="B18" s="41">
        <f>SUMIFS(Kassenbuch!$G:$G,Kassenbuch!$B:$B,"&gt;="&amp;$A18,Kassenbuch!$B:$B,"&lt;="&amp;EOMONTH($A18,0))</f>
        <v>150</v>
      </c>
      <c r="C18" s="36">
        <f>SUMIFS(Kassenbuch!$H:$H,Kassenbuch!$B:$B,"&gt;="&amp;$A18,Kassenbuch!$B:$B,"&lt;="&amp;EOMONTH($A18,0))</f>
        <v>420</v>
      </c>
      <c r="D18" s="53">
        <f t="shared" si="0"/>
        <v>-270</v>
      </c>
      <c r="E18" s="53">
        <f>$B$6+SUM($B$12:B18)-SUM($C$12:C18)</f>
        <v>7245.4000000000005</v>
      </c>
      <c r="F18" s="34" t="s">
        <v>88</v>
      </c>
      <c r="G18" s="41">
        <f>SUMIF(Kassenbuch!$E:$E,$F18,Kassenbuch!$G:$G)</f>
        <v>12.45</v>
      </c>
      <c r="H18" s="54">
        <f t="shared" si="1"/>
        <v>1.1148771172591035E-3</v>
      </c>
    </row>
    <row r="19" spans="1:8" ht="16.5" customHeight="1" x14ac:dyDescent="0.25">
      <c r="A19" s="55">
        <f>DATE($G$4,8,1)</f>
        <v>46235</v>
      </c>
      <c r="B19" s="27">
        <f>SUMIFS(Kassenbuch!$G:$G,Kassenbuch!$B:$B,"&gt;="&amp;$A19,Kassenbuch!$B:$B,"&lt;="&amp;EOMONTH($A19,0))</f>
        <v>0</v>
      </c>
      <c r="C19" s="40">
        <f>SUMIFS(Kassenbuch!$H:$H,Kassenbuch!$B:$B,"&gt;="&amp;$A19,Kassenbuch!$B:$B,"&lt;="&amp;EOMONTH($A19,0))</f>
        <v>0</v>
      </c>
      <c r="D19" s="56">
        <f t="shared" si="0"/>
        <v>0</v>
      </c>
      <c r="E19" s="56">
        <f>$B$6+SUM($B$12:B19)-SUM($C$12:C19)</f>
        <v>7245.4000000000005</v>
      </c>
      <c r="F19" s="26" t="s">
        <v>120</v>
      </c>
      <c r="G19" s="27">
        <f>SUMIF(Kassenbuch!$E:$E,$F19,Kassenbuch!$G:$G)</f>
        <v>0</v>
      </c>
      <c r="H19" s="57">
        <f t="shared" si="1"/>
        <v>0</v>
      </c>
    </row>
    <row r="20" spans="1:8" ht="16.5" customHeight="1" x14ac:dyDescent="0.25">
      <c r="A20" s="52">
        <f>DATE($G$4,9,1)</f>
        <v>46266</v>
      </c>
      <c r="B20" s="41">
        <f>SUMIFS(Kassenbuch!$G:$G,Kassenbuch!$B:$B,"&gt;="&amp;$A20,Kassenbuch!$B:$B,"&lt;="&amp;EOMONTH($A20,0))</f>
        <v>1760</v>
      </c>
      <c r="C20" s="36">
        <f>SUMIFS(Kassenbuch!$H:$H,Kassenbuch!$B:$B,"&gt;="&amp;$A20,Kassenbuch!$B:$B,"&lt;="&amp;EOMONTH($A20,0))</f>
        <v>633.75</v>
      </c>
      <c r="D20" s="53">
        <f t="shared" si="0"/>
        <v>1126.25</v>
      </c>
      <c r="E20" s="53">
        <f>$B$6+SUM($B$12:B20)-SUM($C$12:C20)</f>
        <v>8371.6500000000015</v>
      </c>
      <c r="F20" s="58" t="s">
        <v>121</v>
      </c>
      <c r="G20" s="59">
        <f>SUM(G12:G19)</f>
        <v>11167.150000000001</v>
      </c>
      <c r="H20" s="60"/>
    </row>
    <row r="21" spans="1:8" ht="16.5" customHeight="1" x14ac:dyDescent="0.25">
      <c r="A21" s="55">
        <f>DATE($G$4,10,1)</f>
        <v>46296</v>
      </c>
      <c r="B21" s="27">
        <f>SUMIFS(Kassenbuch!$G:$G,Kassenbuch!$B:$B,"&gt;="&amp;$A21,Kassenbuch!$B:$B,"&lt;="&amp;EOMONTH($A21,0))</f>
        <v>12.45</v>
      </c>
      <c r="C21" s="40">
        <f>SUMIFS(Kassenbuch!$H:$H,Kassenbuch!$B:$B,"&gt;="&amp;$A21,Kassenbuch!$B:$B,"&lt;="&amp;EOMONTH($A21,0))</f>
        <v>420</v>
      </c>
      <c r="D21" s="56">
        <f t="shared" si="0"/>
        <v>-407.55</v>
      </c>
      <c r="E21" s="56">
        <f>$B$6+SUM($B$12:B21)-SUM($C$12:C21)</f>
        <v>7964.1000000000013</v>
      </c>
    </row>
    <row r="22" spans="1:8" ht="16.5" customHeight="1" x14ac:dyDescent="0.25">
      <c r="A22" s="52">
        <f>DATE($G$4,11,1)</f>
        <v>46327</v>
      </c>
      <c r="B22" s="41">
        <f>SUMIFS(Kassenbuch!$G:$G,Kassenbuch!$B:$B,"&gt;="&amp;$A22,Kassenbuch!$B:$B,"&lt;="&amp;EOMONTH($A22,0))</f>
        <v>543.20000000000005</v>
      </c>
      <c r="C22" s="36">
        <f>SUMIFS(Kassenbuch!$H:$H,Kassenbuch!$B:$B,"&gt;="&amp;$A22,Kassenbuch!$B:$B,"&lt;="&amp;EOMONTH($A22,0))</f>
        <v>0</v>
      </c>
      <c r="D22" s="53">
        <f t="shared" si="0"/>
        <v>543.20000000000005</v>
      </c>
      <c r="E22" s="53">
        <f>$B$6+SUM($B$12:B22)-SUM($C$12:C22)</f>
        <v>8507.3000000000029</v>
      </c>
      <c r="F22" s="5" t="s">
        <v>122</v>
      </c>
      <c r="G22" s="5"/>
      <c r="H22" s="5"/>
    </row>
    <row r="23" spans="1:8" ht="16.5" customHeight="1" x14ac:dyDescent="0.25">
      <c r="A23" s="55">
        <f>DATE($G$4,12,1)</f>
        <v>46357</v>
      </c>
      <c r="B23" s="27">
        <f>SUMIFS(Kassenbuch!$G:$G,Kassenbuch!$B:$B,"&gt;="&amp;$A23,Kassenbuch!$B:$B,"&lt;="&amp;EOMONTH($A23,0))</f>
        <v>300</v>
      </c>
      <c r="C23" s="40">
        <f>SUMIFS(Kassenbuch!$H:$H,Kassenbuch!$B:$B,"&gt;="&amp;$A23,Kassenbuch!$B:$B,"&lt;="&amp;EOMONTH($A23,0))</f>
        <v>688.6</v>
      </c>
      <c r="D23" s="56">
        <f t="shared" si="0"/>
        <v>-388.6</v>
      </c>
      <c r="E23" s="56">
        <f>$B$6+SUM($B$12:B23)-SUM($C$12:C23)</f>
        <v>8118.7000000000016</v>
      </c>
      <c r="F23" s="26" t="s">
        <v>17</v>
      </c>
      <c r="G23" s="40">
        <f>SUMIF(Kassenbuch!$E:$E,$F23,Kassenbuch!$H:$H)</f>
        <v>4200</v>
      </c>
      <c r="H23" s="57">
        <f t="shared" ref="H23:H32" si="2">IFERROR($G23/$C$9,0)</f>
        <v>0.66683072819503209</v>
      </c>
    </row>
    <row r="24" spans="1:8" ht="16.5" customHeight="1" x14ac:dyDescent="0.25">
      <c r="A24" s="44" t="s">
        <v>123</v>
      </c>
      <c r="B24" s="45">
        <f>SUM(B12:B23)</f>
        <v>11167.150000000001</v>
      </c>
      <c r="C24" s="45">
        <f>SUM(C12:C23)</f>
        <v>6298.45</v>
      </c>
      <c r="D24" s="46">
        <f t="shared" si="0"/>
        <v>4868.7000000000016</v>
      </c>
      <c r="E24" s="46">
        <f>E23</f>
        <v>8118.7000000000016</v>
      </c>
      <c r="F24" s="34" t="s">
        <v>47</v>
      </c>
      <c r="G24" s="36">
        <f>SUMIF(Kassenbuch!$E:$E,$F24,Kassenbuch!$H:$H)</f>
        <v>158.9</v>
      </c>
      <c r="H24" s="54">
        <f t="shared" si="2"/>
        <v>2.5228429216712051E-2</v>
      </c>
    </row>
    <row r="25" spans="1:8" ht="16.5" customHeight="1" x14ac:dyDescent="0.25">
      <c r="F25" s="26" t="s">
        <v>36</v>
      </c>
      <c r="G25" s="40">
        <f>SUMIF(Kassenbuch!$E:$E,$F25,Kassenbuch!$H:$H)</f>
        <v>957.69999999999993</v>
      </c>
      <c r="H25" s="57">
        <f t="shared" si="2"/>
        <v>0.15205328295056719</v>
      </c>
    </row>
    <row r="26" spans="1:8" ht="16.5" customHeight="1" x14ac:dyDescent="0.25">
      <c r="F26" s="34" t="s">
        <v>30</v>
      </c>
      <c r="G26" s="36">
        <f>SUMIF(Kassenbuch!$E:$E,$F26,Kassenbuch!$H:$H)</f>
        <v>289</v>
      </c>
      <c r="H26" s="54">
        <f t="shared" si="2"/>
        <v>4.588430486865816E-2</v>
      </c>
    </row>
    <row r="27" spans="1:8" ht="16.5" customHeight="1" x14ac:dyDescent="0.25">
      <c r="F27" s="26" t="s">
        <v>21</v>
      </c>
      <c r="G27" s="40">
        <f>SUMIF(Kassenbuch!$E:$E,$F27,Kassenbuch!$H:$H)</f>
        <v>82.3</v>
      </c>
      <c r="H27" s="57">
        <f t="shared" si="2"/>
        <v>1.3066706888202653E-2</v>
      </c>
    </row>
    <row r="28" spans="1:8" ht="16.5" customHeight="1" x14ac:dyDescent="0.25">
      <c r="F28" s="34" t="s">
        <v>39</v>
      </c>
      <c r="G28" s="36">
        <f>SUMIF(Kassenbuch!$E:$E,$F28,Kassenbuch!$H:$H)</f>
        <v>86.2</v>
      </c>
      <c r="H28" s="54">
        <f t="shared" si="2"/>
        <v>1.368590685009804E-2</v>
      </c>
    </row>
    <row r="29" spans="1:8" ht="16.5" customHeight="1" x14ac:dyDescent="0.25">
      <c r="F29" s="26" t="s">
        <v>72</v>
      </c>
      <c r="G29" s="40">
        <f>SUMIF(Kassenbuch!$E:$E,$F29,Kassenbuch!$H:$H)</f>
        <v>42</v>
      </c>
      <c r="H29" s="57">
        <f t="shared" si="2"/>
        <v>6.6683072819503217E-3</v>
      </c>
    </row>
    <row r="30" spans="1:8" ht="16.5" customHeight="1" x14ac:dyDescent="0.25">
      <c r="F30" s="34" t="s">
        <v>81</v>
      </c>
      <c r="G30" s="36">
        <f>SUMIF(Kassenbuch!$E:$E,$F30,Kassenbuch!$H:$H)</f>
        <v>213.75</v>
      </c>
      <c r="H30" s="54">
        <f t="shared" si="2"/>
        <v>3.3936920988497168E-2</v>
      </c>
    </row>
    <row r="31" spans="1:8" ht="16.5" customHeight="1" x14ac:dyDescent="0.25">
      <c r="F31" s="26" t="s">
        <v>95</v>
      </c>
      <c r="G31" s="40">
        <f>SUMIF(Kassenbuch!$E:$E,$F31,Kassenbuch!$H:$H)</f>
        <v>268.60000000000002</v>
      </c>
      <c r="H31" s="57">
        <f t="shared" si="2"/>
        <v>4.2645412760282296E-2</v>
      </c>
    </row>
    <row r="32" spans="1:8" ht="16.5" customHeight="1" x14ac:dyDescent="0.25">
      <c r="F32" s="34" t="s">
        <v>124</v>
      </c>
      <c r="G32" s="36">
        <f>SUMIF(Kassenbuch!$E:$E,$F32,Kassenbuch!$H:$H)</f>
        <v>0</v>
      </c>
      <c r="H32" s="54">
        <f t="shared" si="2"/>
        <v>0</v>
      </c>
    </row>
    <row r="33" spans="1:8" x14ac:dyDescent="0.25">
      <c r="F33" s="58" t="s">
        <v>125</v>
      </c>
      <c r="G33" s="61">
        <f>SUM(G23:G32)</f>
        <v>6298.45</v>
      </c>
      <c r="H33" s="60"/>
    </row>
    <row r="44" spans="1:8" ht="15" customHeight="1" x14ac:dyDescent="0.25">
      <c r="A44" s="4" t="s">
        <v>126</v>
      </c>
      <c r="B44" s="4"/>
      <c r="C44" s="4"/>
      <c r="D44" s="4"/>
      <c r="E44" s="4"/>
      <c r="F44" s="4"/>
      <c r="G44" s="4"/>
      <c r="H44" s="4"/>
    </row>
    <row r="45" spans="1:8" ht="25.5" customHeight="1" x14ac:dyDescent="0.25">
      <c r="A45" s="3" t="s">
        <v>127</v>
      </c>
      <c r="B45" s="3"/>
      <c r="C45" s="3"/>
      <c r="D45" s="3"/>
      <c r="E45" s="3"/>
      <c r="F45" s="3"/>
      <c r="G45" s="3"/>
      <c r="H45" s="3"/>
    </row>
    <row r="46" spans="1:8" ht="25.5" customHeight="1" x14ac:dyDescent="0.25">
      <c r="A46" s="3" t="s">
        <v>128</v>
      </c>
      <c r="B46" s="3"/>
      <c r="C46" s="3"/>
      <c r="D46" s="3"/>
      <c r="E46" s="3"/>
      <c r="F46" s="3"/>
      <c r="G46" s="3"/>
      <c r="H46" s="3"/>
    </row>
    <row r="47" spans="1:8" ht="25.5" customHeight="1" x14ac:dyDescent="0.25">
      <c r="A47" s="3" t="s">
        <v>129</v>
      </c>
      <c r="B47" s="3"/>
      <c r="C47" s="3"/>
      <c r="D47" s="3"/>
      <c r="E47" s="3"/>
      <c r="F47" s="3"/>
      <c r="G47" s="3"/>
      <c r="H47" s="3"/>
    </row>
    <row r="48" spans="1:8" ht="25.5" customHeight="1" x14ac:dyDescent="0.25">
      <c r="A48" s="3" t="s">
        <v>130</v>
      </c>
      <c r="B48" s="3"/>
      <c r="C48" s="3"/>
      <c r="D48" s="3"/>
      <c r="E48" s="3"/>
      <c r="F48" s="3"/>
      <c r="G48" s="3"/>
      <c r="H48" s="3"/>
    </row>
    <row r="49" spans="1:8" ht="25.5" customHeight="1" x14ac:dyDescent="0.25">
      <c r="A49" s="3" t="s">
        <v>131</v>
      </c>
      <c r="B49" s="3"/>
      <c r="C49" s="3"/>
      <c r="D49" s="3"/>
      <c r="E49" s="3"/>
      <c r="F49" s="3"/>
      <c r="G49" s="3"/>
      <c r="H49" s="3"/>
    </row>
    <row r="50" spans="1:8" ht="25.5" customHeight="1" x14ac:dyDescent="0.25">
      <c r="A50" s="3" t="s">
        <v>132</v>
      </c>
      <c r="B50" s="3"/>
      <c r="C50" s="3"/>
      <c r="D50" s="3"/>
      <c r="E50" s="3"/>
      <c r="F50" s="3"/>
      <c r="G50" s="3"/>
      <c r="H50" s="3"/>
    </row>
  </sheetData>
  <mergeCells count="21">
    <mergeCell ref="A48:H48"/>
    <mergeCell ref="A49:H49"/>
    <mergeCell ref="A50:H50"/>
    <mergeCell ref="F22:H22"/>
    <mergeCell ref="A44:H44"/>
    <mergeCell ref="A45:H45"/>
    <mergeCell ref="A46:H46"/>
    <mergeCell ref="A47:H47"/>
    <mergeCell ref="A9:B9"/>
    <mergeCell ref="C9:D9"/>
    <mergeCell ref="E9:F9"/>
    <mergeCell ref="G9:H9"/>
    <mergeCell ref="F11:H11"/>
    <mergeCell ref="A1:H1"/>
    <mergeCell ref="A2:H2"/>
    <mergeCell ref="B4:D4"/>
    <mergeCell ref="B5:D5"/>
    <mergeCell ref="A8:B8"/>
    <mergeCell ref="C8:D8"/>
    <mergeCell ref="E8:F8"/>
    <mergeCell ref="G8:H8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7892B"/>
  </sheetPr>
  <dimension ref="A1:E22"/>
  <sheetViews>
    <sheetView showGridLines="0" zoomScaleNormal="100" workbookViewId="0"/>
  </sheetViews>
  <sheetFormatPr baseColWidth="10" defaultColWidth="8.7109375" defaultRowHeight="15" x14ac:dyDescent="0.25"/>
  <cols>
    <col min="1" max="1" width="24" customWidth="1"/>
    <col min="2" max="2" width="12" customWidth="1"/>
    <col min="3" max="3" width="3" customWidth="1"/>
    <col min="4" max="4" width="20" customWidth="1"/>
    <col min="5" max="5" width="3" customWidth="1"/>
  </cols>
  <sheetData>
    <row r="1" spans="1:5" ht="30" customHeight="1" x14ac:dyDescent="0.25">
      <c r="A1" s="2" t="s">
        <v>133</v>
      </c>
      <c r="B1" s="2"/>
      <c r="C1" s="2"/>
      <c r="D1" s="2"/>
      <c r="E1" s="2"/>
    </row>
    <row r="2" spans="1:5" ht="24" customHeight="1" x14ac:dyDescent="0.25">
      <c r="A2" s="1" t="s">
        <v>134</v>
      </c>
      <c r="B2" s="1"/>
      <c r="C2" s="1"/>
      <c r="D2" s="1"/>
      <c r="E2" s="1"/>
    </row>
    <row r="4" spans="1:5" x14ac:dyDescent="0.25">
      <c r="A4" s="14" t="s">
        <v>135</v>
      </c>
      <c r="B4" s="14" t="s">
        <v>136</v>
      </c>
      <c r="D4" s="14" t="s">
        <v>5</v>
      </c>
    </row>
    <row r="5" spans="1:5" x14ac:dyDescent="0.25">
      <c r="A5" s="34" t="s">
        <v>13</v>
      </c>
      <c r="B5" s="62" t="s">
        <v>6</v>
      </c>
      <c r="D5" s="34" t="s">
        <v>22</v>
      </c>
    </row>
    <row r="6" spans="1:5" x14ac:dyDescent="0.25">
      <c r="A6" s="34" t="s">
        <v>25</v>
      </c>
      <c r="B6" s="62" t="s">
        <v>6</v>
      </c>
      <c r="D6" s="34" t="s">
        <v>18</v>
      </c>
    </row>
    <row r="7" spans="1:5" x14ac:dyDescent="0.25">
      <c r="A7" s="34" t="s">
        <v>53</v>
      </c>
      <c r="B7" s="62" t="s">
        <v>6</v>
      </c>
      <c r="D7" s="34" t="s">
        <v>14</v>
      </c>
    </row>
    <row r="8" spans="1:5" x14ac:dyDescent="0.25">
      <c r="A8" s="34" t="s">
        <v>44</v>
      </c>
      <c r="B8" s="62" t="s">
        <v>6</v>
      </c>
      <c r="D8" s="34" t="s">
        <v>63</v>
      </c>
    </row>
    <row r="9" spans="1:5" x14ac:dyDescent="0.25">
      <c r="A9" s="34" t="s">
        <v>33</v>
      </c>
      <c r="B9" s="62" t="s">
        <v>6</v>
      </c>
      <c r="D9" s="34" t="s">
        <v>48</v>
      </c>
    </row>
    <row r="10" spans="1:5" x14ac:dyDescent="0.25">
      <c r="A10" s="34" t="s">
        <v>62</v>
      </c>
      <c r="B10" s="62" t="s">
        <v>6</v>
      </c>
      <c r="D10" s="34" t="s">
        <v>137</v>
      </c>
    </row>
    <row r="11" spans="1:5" x14ac:dyDescent="0.25">
      <c r="A11" s="34" t="s">
        <v>88</v>
      </c>
      <c r="B11" s="62" t="s">
        <v>6</v>
      </c>
    </row>
    <row r="12" spans="1:5" x14ac:dyDescent="0.25">
      <c r="A12" s="34" t="s">
        <v>120</v>
      </c>
      <c r="B12" s="62" t="s">
        <v>6</v>
      </c>
    </row>
    <row r="13" spans="1:5" x14ac:dyDescent="0.25">
      <c r="A13" s="34" t="s">
        <v>17</v>
      </c>
      <c r="B13" s="63" t="s">
        <v>7</v>
      </c>
    </row>
    <row r="14" spans="1:5" x14ac:dyDescent="0.25">
      <c r="A14" s="34" t="s">
        <v>47</v>
      </c>
      <c r="B14" s="63" t="s">
        <v>7</v>
      </c>
    </row>
    <row r="15" spans="1:5" x14ac:dyDescent="0.25">
      <c r="A15" s="34" t="s">
        <v>36</v>
      </c>
      <c r="B15" s="63" t="s">
        <v>7</v>
      </c>
    </row>
    <row r="16" spans="1:5" x14ac:dyDescent="0.25">
      <c r="A16" s="34" t="s">
        <v>30</v>
      </c>
      <c r="B16" s="63" t="s">
        <v>7</v>
      </c>
    </row>
    <row r="17" spans="1:2" x14ac:dyDescent="0.25">
      <c r="A17" s="34" t="s">
        <v>21</v>
      </c>
      <c r="B17" s="63" t="s">
        <v>7</v>
      </c>
    </row>
    <row r="18" spans="1:2" x14ac:dyDescent="0.25">
      <c r="A18" s="34" t="s">
        <v>39</v>
      </c>
      <c r="B18" s="63" t="s">
        <v>7</v>
      </c>
    </row>
    <row r="19" spans="1:2" x14ac:dyDescent="0.25">
      <c r="A19" s="34" t="s">
        <v>72</v>
      </c>
      <c r="B19" s="63" t="s">
        <v>7</v>
      </c>
    </row>
    <row r="20" spans="1:2" x14ac:dyDescent="0.25">
      <c r="A20" s="34" t="s">
        <v>81</v>
      </c>
      <c r="B20" s="63" t="s">
        <v>7</v>
      </c>
    </row>
    <row r="21" spans="1:2" x14ac:dyDescent="0.25">
      <c r="A21" s="34" t="s">
        <v>95</v>
      </c>
      <c r="B21" s="63" t="s">
        <v>7</v>
      </c>
    </row>
    <row r="22" spans="1:2" x14ac:dyDescent="0.25">
      <c r="A22" s="34" t="s">
        <v>124</v>
      </c>
      <c r="B22" s="63" t="s">
        <v>7</v>
      </c>
    </row>
  </sheetData>
  <mergeCells count="2">
    <mergeCell ref="A1:E1"/>
    <mergeCell ref="A2:E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5</vt:i4>
      </vt:variant>
    </vt:vector>
  </HeadingPairs>
  <TitlesOfParts>
    <vt:vector size="8" baseType="lpstr">
      <vt:lpstr>Kassenbuch</vt:lpstr>
      <vt:lpstr>Jahresübersicht</vt:lpstr>
      <vt:lpstr>Kategorien</vt:lpstr>
      <vt:lpstr>Jahresübersicht!Druckbereich</vt:lpstr>
      <vt:lpstr>Jahresübersicht!Drucktitel</vt:lpstr>
      <vt:lpstr>Kassenbuch!Drucktitel</vt:lpstr>
      <vt:lpstr>KAT_ALLE</vt:lpstr>
      <vt:lpstr>ZAHLARTEN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2</cp:revision>
  <dcterms:created xsi:type="dcterms:W3CDTF">2026-09-02T11:24:34Z</dcterms:created>
  <dcterms:modified xsi:type="dcterms:W3CDTF">2026-09-02T13:47:38Z</dcterms:modified>
  <dc:language>en-US</dc:language>
</cp:coreProperties>
</file>