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1294D500-0BC0-41C3-ABD4-4C5466A8C2BE}" xr6:coauthVersionLast="47" xr6:coauthVersionMax="47" xr10:uidLastSave="{00000000-0000-0000-0000-000000000000}"/>
  <bookViews>
    <workbookView xWindow="1725" yWindow="1725" windowWidth="25500" windowHeight="13500" tabRatio="500" xr2:uid="{00000000-000D-0000-FFFF-FFFF00000000}"/>
  </bookViews>
  <sheets>
    <sheet name="Preisliste" sheetId="1" r:id="rId1"/>
    <sheet name="Auswertung" sheetId="2" r:id="rId2"/>
    <sheet name="Anleitung" sheetId="3" r:id="rId3"/>
  </sheets>
  <definedNames>
    <definedName name="_xlnm.Print_Area" localSheetId="0">Preisliste!$A$1:$T$60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3" i="2" l="1"/>
  <c r="B23" i="2"/>
  <c r="C22" i="2"/>
  <c r="B22" i="2"/>
  <c r="D21" i="2"/>
  <c r="C21" i="2"/>
  <c r="B21" i="2"/>
  <c r="C20" i="2"/>
  <c r="B20" i="2"/>
  <c r="D15" i="2"/>
  <c r="C15" i="2"/>
  <c r="B15" i="2"/>
  <c r="D14" i="2"/>
  <c r="C14" i="2"/>
  <c r="B14" i="2"/>
  <c r="D13" i="2"/>
  <c r="C13" i="2"/>
  <c r="B13" i="2"/>
  <c r="E12" i="2"/>
  <c r="D12" i="2"/>
  <c r="C12" i="2"/>
  <c r="B12" i="2"/>
  <c r="D11" i="2"/>
  <c r="C11" i="2"/>
  <c r="B11" i="2"/>
  <c r="D10" i="2"/>
  <c r="C10" i="2"/>
  <c r="B10" i="2"/>
  <c r="D5" i="2"/>
  <c r="A5" i="2"/>
  <c r="R48" i="1"/>
  <c r="P48" i="1"/>
  <c r="N48" i="1"/>
  <c r="J48" i="1"/>
  <c r="P46" i="1"/>
  <c r="N46" i="1"/>
  <c r="L46" i="1"/>
  <c r="K46" i="1"/>
  <c r="J46" i="1"/>
  <c r="P45" i="1"/>
  <c r="N45" i="1"/>
  <c r="L45" i="1"/>
  <c r="K45" i="1"/>
  <c r="J45" i="1"/>
  <c r="P44" i="1"/>
  <c r="N44" i="1"/>
  <c r="L44" i="1"/>
  <c r="K44" i="1"/>
  <c r="J44" i="1"/>
  <c r="P43" i="1"/>
  <c r="N43" i="1"/>
  <c r="L43" i="1"/>
  <c r="K43" i="1"/>
  <c r="J43" i="1"/>
  <c r="P42" i="1"/>
  <c r="N42" i="1"/>
  <c r="L42" i="1"/>
  <c r="K42" i="1"/>
  <c r="J42" i="1"/>
  <c r="P41" i="1"/>
  <c r="N41" i="1"/>
  <c r="L41" i="1"/>
  <c r="K41" i="1"/>
  <c r="J41" i="1"/>
  <c r="P40" i="1"/>
  <c r="N40" i="1"/>
  <c r="L40" i="1"/>
  <c r="K40" i="1"/>
  <c r="J40" i="1"/>
  <c r="P39" i="1"/>
  <c r="N39" i="1"/>
  <c r="L39" i="1"/>
  <c r="K39" i="1"/>
  <c r="J39" i="1"/>
  <c r="P38" i="1"/>
  <c r="N38" i="1"/>
  <c r="L38" i="1"/>
  <c r="K38" i="1"/>
  <c r="J38" i="1"/>
  <c r="P37" i="1"/>
  <c r="N37" i="1"/>
  <c r="L37" i="1"/>
  <c r="K37" i="1"/>
  <c r="J37" i="1"/>
  <c r="P36" i="1"/>
  <c r="N36" i="1"/>
  <c r="K36" i="1"/>
  <c r="J36" i="1"/>
  <c r="P35" i="1"/>
  <c r="N35" i="1"/>
  <c r="K35" i="1"/>
  <c r="J35" i="1"/>
  <c r="P34" i="1"/>
  <c r="N34" i="1"/>
  <c r="K34" i="1"/>
  <c r="J34" i="1"/>
  <c r="P33" i="1"/>
  <c r="N33" i="1"/>
  <c r="K33" i="1"/>
  <c r="J33" i="1"/>
  <c r="P32" i="1"/>
  <c r="N32" i="1"/>
  <c r="K32" i="1"/>
  <c r="J32" i="1"/>
  <c r="P31" i="1"/>
  <c r="N31" i="1"/>
  <c r="K31" i="1"/>
  <c r="J31" i="1"/>
  <c r="N30" i="1"/>
  <c r="K30" i="1"/>
  <c r="J30" i="1"/>
  <c r="K29" i="1"/>
  <c r="J29" i="1"/>
  <c r="K28" i="1"/>
  <c r="J28" i="1"/>
  <c r="P27" i="1"/>
  <c r="N27" i="1"/>
  <c r="K27" i="1"/>
  <c r="J27" i="1"/>
  <c r="P26" i="1"/>
  <c r="N26" i="1"/>
  <c r="K26" i="1"/>
  <c r="J26" i="1"/>
  <c r="K25" i="1"/>
  <c r="J25" i="1"/>
  <c r="P24" i="1"/>
  <c r="N24" i="1"/>
  <c r="L24" i="1"/>
  <c r="J24" i="1"/>
  <c r="P23" i="1"/>
  <c r="N23" i="1"/>
  <c r="K23" i="1"/>
  <c r="J23" i="1"/>
  <c r="P22" i="1"/>
  <c r="N22" i="1"/>
  <c r="K22" i="1"/>
  <c r="J22" i="1"/>
  <c r="P21" i="1"/>
  <c r="N21" i="1"/>
  <c r="K21" i="1"/>
  <c r="J21" i="1"/>
  <c r="P20" i="1"/>
  <c r="N20" i="1"/>
  <c r="K20" i="1"/>
  <c r="J20" i="1"/>
  <c r="P19" i="1"/>
  <c r="N19" i="1"/>
  <c r="K19" i="1"/>
  <c r="J19" i="1"/>
  <c r="P18" i="1"/>
  <c r="N18" i="1"/>
  <c r="K18" i="1"/>
  <c r="J18" i="1"/>
  <c r="P17" i="1"/>
  <c r="N17" i="1"/>
  <c r="K17" i="1"/>
  <c r="J17" i="1"/>
  <c r="P16" i="1"/>
  <c r="N16" i="1"/>
  <c r="K16" i="1"/>
  <c r="J16" i="1"/>
  <c r="P15" i="1"/>
  <c r="N15" i="1"/>
  <c r="K15" i="1"/>
  <c r="J15" i="1"/>
  <c r="P14" i="1"/>
  <c r="N14" i="1"/>
  <c r="K14" i="1"/>
  <c r="J14" i="1"/>
  <c r="F13" i="2" s="1"/>
  <c r="P13" i="1"/>
  <c r="N13" i="1"/>
  <c r="K13" i="1"/>
  <c r="J13" i="1"/>
  <c r="F11" i="2" s="1"/>
  <c r="P12" i="1"/>
  <c r="N12" i="1"/>
  <c r="K12" i="1"/>
  <c r="J12" i="1"/>
  <c r="D23" i="2" s="1"/>
  <c r="F10" i="2" l="1"/>
  <c r="E11" i="2"/>
  <c r="E15" i="2"/>
  <c r="E14" i="2"/>
  <c r="E10" i="2"/>
  <c r="F15" i="2"/>
  <c r="F14" i="2"/>
  <c r="L48" i="1"/>
  <c r="D20" i="2"/>
  <c r="F12" i="2"/>
  <c r="I49" i="1"/>
  <c r="G5" i="2"/>
  <c r="E13" i="2"/>
  <c r="D22" i="2"/>
  <c r="J5" i="2"/>
</calcChain>
</file>

<file path=xl/sharedStrings.xml><?xml version="1.0" encoding="utf-8"?>
<sst xmlns="http://schemas.openxmlformats.org/spreadsheetml/2006/main" count="310" uniqueCount="219">
  <si>
    <t>PREISLISTE  |  Produkt- &amp; Leistungsübersicht</t>
  </si>
  <si>
    <t>Gültig ab: 01.01.2026  ·  Alle Preise in EUR  ·  Stand: 04.08.2026</t>
  </si>
  <si>
    <t>Version: 2026-1  ·  B2B Netto-Preise zzgl. MwSt.</t>
  </si>
  <si>
    <t>Unternehmen / Anbieter:</t>
  </si>
  <si>
    <t>Muster GmbH &amp; Co. KG</t>
  </si>
  <si>
    <t>Ansprechpartner Vertrieb:</t>
  </si>
  <si>
    <t>A. Berger</t>
  </si>
  <si>
    <t>Zahlungsbedingungen:</t>
  </si>
  <si>
    <t>30 Tage netto</t>
  </si>
  <si>
    <t>Lieferbedingungen:</t>
  </si>
  <si>
    <t>FCA Lager</t>
  </si>
  <si>
    <t>Straße &amp; Hausnummer:</t>
  </si>
  <si>
    <t>Industrieweg 44</t>
  </si>
  <si>
    <t>Telefon / E-Mail:</t>
  </si>
  <si>
    <t>0800 / 111 22 33</t>
  </si>
  <si>
    <t>Skonto:</t>
  </si>
  <si>
    <t>2 % bei Zahlung in 10 Tagen</t>
  </si>
  <si>
    <t>Mindestbestellwert:</t>
  </si>
  <si>
    <t>500,00 €</t>
  </si>
  <si>
    <t>PLZ / Ort:</t>
  </si>
  <si>
    <t>60439 Frankfurt am Main</t>
  </si>
  <si>
    <t>Gültigkeitszeitraum:</t>
  </si>
  <si>
    <t>01.01.2026 – 31.12.2026</t>
  </si>
  <si>
    <t>Standard-MwSt.:</t>
  </si>
  <si>
    <t>19 %</t>
  </si>
  <si>
    <t>Währung:</t>
  </si>
  <si>
    <t>EUR (€)</t>
  </si>
  <si>
    <t>USt-IdNr.:</t>
  </si>
  <si>
    <t>DE123456789</t>
  </si>
  <si>
    <t>Nächste Preisüberprüfung:</t>
  </si>
  <si>
    <t>01.10.2026</t>
  </si>
  <si>
    <t>Zielmarge (gesamt):</t>
  </si>
  <si>
    <t>35 %</t>
  </si>
  <si>
    <t>Preisbasis:</t>
  </si>
  <si>
    <t>Netto EK-basiert</t>
  </si>
  <si>
    <t>▶ LEGENDE MARGE:</t>
  </si>
  <si>
    <t>■ ≥ 35 % Zielmarge</t>
  </si>
  <si>
    <t>■ 20–34 % Akzeptabel</t>
  </si>
  <si>
    <t>■ &lt; 20 % Kritisch</t>
  </si>
  <si>
    <t>● Neuheit</t>
  </si>
  <si>
    <t>● Auslauf</t>
  </si>
  <si>
    <t>● Bestseller</t>
  </si>
  <si>
    <t>#</t>
  </si>
  <si>
    <t>Art.-Nr.</t>
  </si>
  <si>
    <t>Produktbezeichnung</t>
  </si>
  <si>
    <t>Warengruppe</t>
  </si>
  <si>
    <t>Variante /
Ausführung</t>
  </si>
  <si>
    <t>Einheit</t>
  </si>
  <si>
    <t>EK-Preis
(€ netto)</t>
  </si>
  <si>
    <t>VK-Preis
(€ netto)</t>
  </si>
  <si>
    <t>Marge
(%)</t>
  </si>
  <si>
    <t>VK Brutto
19% MwSt.</t>
  </si>
  <si>
    <t>VK Brutto
7% MwSt.</t>
  </si>
  <si>
    <t>Rabatt
Stufe 1 (%)</t>
  </si>
  <si>
    <t>Staffelpreis
Stufe 1 (€)</t>
  </si>
  <si>
    <t>Rabatt
Stufe 2 (%)</t>
  </si>
  <si>
    <t>Staffelpreis
Stufe 2 (€)</t>
  </si>
  <si>
    <t>Min.-Abnahme</t>
  </si>
  <si>
    <t>Produktstatus</t>
  </si>
  <si>
    <t>Gültig ab</t>
  </si>
  <si>
    <t>Hinweise</t>
  </si>
  <si>
    <t>EL-1001</t>
  </si>
  <si>
    <t>Tischladegerät USB-C 65W</t>
  </si>
  <si>
    <t>Elektronik &amp; Zubehör</t>
  </si>
  <si>
    <t>Schwarz, EU-Stecker</t>
  </si>
  <si>
    <t>Stk.</t>
  </si>
  <si>
    <t>Bestseller</t>
  </si>
  <si>
    <t>01.01.2026</t>
  </si>
  <si>
    <t>Inkl. Kabel 1,5m</t>
  </si>
  <si>
    <t>EL-1002</t>
  </si>
  <si>
    <t>Bluetooth-Lautsprecher kompakt</t>
  </si>
  <si>
    <t>Grau / Anthrazit</t>
  </si>
  <si>
    <t>Neuheit</t>
  </si>
  <si>
    <t>01.03.2026</t>
  </si>
  <si>
    <t>IPX5 wasserdicht</t>
  </si>
  <si>
    <t>EL-1003</t>
  </si>
  <si>
    <t>Kabelloser Presenter</t>
  </si>
  <si>
    <t>Schwarz</t>
  </si>
  <si>
    <t>Standard</t>
  </si>
  <si>
    <t>Reichweite 30m</t>
  </si>
  <si>
    <t>EL-1004</t>
  </si>
  <si>
    <t>HDMI-Kabel 2.0 – 3m</t>
  </si>
  <si>
    <t>4K 60Hz</t>
  </si>
  <si>
    <t>BA-2001</t>
  </si>
  <si>
    <t>Ergonomischer Bürostuhl</t>
  </si>
  <si>
    <t>Büro &amp; Arbeitsmittel</t>
  </si>
  <si>
    <t>Schwarz Netz</t>
  </si>
  <si>
    <t>Traglast 120 kg</t>
  </si>
  <si>
    <t>BA-2002</t>
  </si>
  <si>
    <t>Stehpult-Aufsatz höhenverstellbar</t>
  </si>
  <si>
    <t>Weiß/Silber</t>
  </si>
  <si>
    <t>01.02.2026</t>
  </si>
  <si>
    <t>Traglast 8 kg</t>
  </si>
  <si>
    <t>BA-2003</t>
  </si>
  <si>
    <t>Whiteboard magnetisch 120×90 cm</t>
  </si>
  <si>
    <t>Aluminiumrahmen</t>
  </si>
  <si>
    <t>Inkl. Marker-Set</t>
  </si>
  <si>
    <t>BA-2004</t>
  </si>
  <si>
    <t>Dokumententresor A4</t>
  </si>
  <si>
    <t>Silber, Schlossfach</t>
  </si>
  <si>
    <t>Feuerfest 30 Min.</t>
  </si>
  <si>
    <t>VM-3001</t>
  </si>
  <si>
    <t>Kopierpapier A4 80g (500 Bl.)</t>
  </si>
  <si>
    <t>Verbrauchsmaterial</t>
  </si>
  <si>
    <t>Weiß, CIE 161</t>
  </si>
  <si>
    <t>Karton</t>
  </si>
  <si>
    <t>500 Bl. pro Karton</t>
  </si>
  <si>
    <t>VM-3002</t>
  </si>
  <si>
    <t>Druckerpatrone Schwarz XL</t>
  </si>
  <si>
    <t>Universell Typ A</t>
  </si>
  <si>
    <t>~800 Seiten</t>
  </si>
  <si>
    <t>VM-3003</t>
  </si>
  <si>
    <t>Heftklammern 24/6 (5.000 St.)</t>
  </si>
  <si>
    <t>Verzinkt</t>
  </si>
  <si>
    <t xml:space="preserve">Schacht.  </t>
  </si>
  <si>
    <t>VM-3004</t>
  </si>
  <si>
    <t>Klebefilm transparent 19mm (10er)</t>
  </si>
  <si>
    <t>Pack</t>
  </si>
  <si>
    <t>VM-3005</t>
  </si>
  <si>
    <t>Desinfektionsmittel Spray 500ml</t>
  </si>
  <si>
    <t>Parfümfrei</t>
  </si>
  <si>
    <t>DGHM gelistet</t>
  </si>
  <si>
    <t>SL-4001</t>
  </si>
  <si>
    <t>Cloud-Speicher Basis 100 GB</t>
  </si>
  <si>
    <t>Software &amp; Lizenzen</t>
  </si>
  <si>
    <t>Monatslizenz</t>
  </si>
  <si>
    <t>Lizenz</t>
  </si>
  <si>
    <t>Automatisch verlängernd</t>
  </si>
  <si>
    <t>SL-4002</t>
  </si>
  <si>
    <t>Projektmanagement-Tool (pro Team)</t>
  </si>
  <si>
    <t>Jahreslizenz 5 User</t>
  </si>
  <si>
    <t>Inkl. Support</t>
  </si>
  <si>
    <t>SL-4003</t>
  </si>
  <si>
    <t>Virenscanner Business Edition</t>
  </si>
  <si>
    <t>10 Geräte / Jahr</t>
  </si>
  <si>
    <t>Download-Lizenz</t>
  </si>
  <si>
    <t>SL-4004</t>
  </si>
  <si>
    <t>Zeiterfassungs-Software Basis</t>
  </si>
  <si>
    <t>15 User / Monat</t>
  </si>
  <si>
    <t>01.04.2026</t>
  </si>
  <si>
    <t>DSGVO-konform DE</t>
  </si>
  <si>
    <t>BS-5001</t>
  </si>
  <si>
    <t>Erstberatung Einrichtung</t>
  </si>
  <si>
    <t>Beratung &amp; Service</t>
  </si>
  <si>
    <t>Remote / Vor Ort</t>
  </si>
  <si>
    <t>Std.</t>
  </si>
  <si>
    <t>Min. 2 Std.</t>
  </si>
  <si>
    <t>BS-5002</t>
  </si>
  <si>
    <t>Schulung Basispaket</t>
  </si>
  <si>
    <t>Online / 4 Std.</t>
  </si>
  <si>
    <t>Bis 6 Teilnehmer</t>
  </si>
  <si>
    <t>BS-5003</t>
  </si>
  <si>
    <t>Technischer Support Premium</t>
  </si>
  <si>
    <t>12 Monate</t>
  </si>
  <si>
    <t>Vertrag</t>
  </si>
  <si>
    <t>Reaktionszeit &lt; 4h</t>
  </si>
  <si>
    <t>VV-6001</t>
  </si>
  <si>
    <t>Versandkarton Größe M (430×300×200)</t>
  </si>
  <si>
    <t>Verpackung &amp; Versand</t>
  </si>
  <si>
    <t>Braun, 2-wellig</t>
  </si>
  <si>
    <t>Max. 10 kg</t>
  </si>
  <si>
    <t>VV-6002</t>
  </si>
  <si>
    <t>Luftpolsterfolie 1m×100m</t>
  </si>
  <si>
    <t>Transparent</t>
  </si>
  <si>
    <t>Rolle</t>
  </si>
  <si>
    <t>3-lagig</t>
  </si>
  <si>
    <t>VV-6003</t>
  </si>
  <si>
    <t>Paketklebeband 50mm×66m</t>
  </si>
  <si>
    <t>Braun</t>
  </si>
  <si>
    <t>VV-6004</t>
  </si>
  <si>
    <t>Acryl-Etikett A4 blanko (100 Bl.)</t>
  </si>
  <si>
    <t>Laser/Inkjet</t>
  </si>
  <si>
    <t>Auslauf</t>
  </si>
  <si>
    <t>Nachfolger: VV-6005</t>
  </si>
  <si>
    <t>VV-6005</t>
  </si>
  <si>
    <t>Polyethylen-Mailer 30×40 cm</t>
  </si>
  <si>
    <t>Weiß, selbstklebend</t>
  </si>
  <si>
    <t>01.05.2026</t>
  </si>
  <si>
    <t>100 % recycelbar</t>
  </si>
  <si>
    <t>ZUSAMMENFASSUNG PREISLISTE</t>
  </si>
  <si>
    <t>Ø VK-Preis Netto:</t>
  </si>
  <si>
    <t>Ø Marge:</t>
  </si>
  <si>
    <t>Artikel gesamt:</t>
  </si>
  <si>
    <t>Bestseller:</t>
  </si>
  <si>
    <t>Neuheiten:</t>
  </si>
  <si>
    <t>⚠  Artikel mit Marge &lt; 20 % (kritisch):</t>
  </si>
  <si>
    <t>PREISLISTEN-AUSWERTUNG  |  2026</t>
  </si>
  <si>
    <t>Automatische Kennzahlen auf Basis der Preisliste · Wird bei jeder Änderung aktualisiert</t>
  </si>
  <si>
    <t>ARTIKEL GESAMT</t>
  </si>
  <si>
    <t>KATEGORIEN</t>
  </si>
  <si>
    <t>Ø MARGE</t>
  </si>
  <si>
    <t>ART. KRIT. MARGE</t>
  </si>
  <si>
    <t>AUSWERTUNG NACH WARENGRUPPE</t>
  </si>
  <si>
    <t>Anzahl</t>
  </si>
  <si>
    <t>Ø EK (€)</t>
  </si>
  <si>
    <t>Ø VK (€)</t>
  </si>
  <si>
    <t>Ø Marge</t>
  </si>
  <si>
    <t>Krit. &lt;20%</t>
  </si>
  <si>
    <t>PRODUKTSTATUS-ÜBERSICHT</t>
  </si>
  <si>
    <t>Status</t>
  </si>
  <si>
    <t>Anzahl Artikel</t>
  </si>
  <si>
    <t>Ø VK-Preis (€)</t>
  </si>
  <si>
    <t>ANLEITUNG  |  Preisliste korrekt ausfüllen und anpassen</t>
  </si>
  <si>
    <t>SCHRITT 1 – Stammdaten anpassen</t>
  </si>
  <si>
    <t>Tragen Sie im oberen Block (Zeile 4–7) Ihre Unternehmensdaten ein: Firmenname, Adresse, USt-IdNr., Zahlungs- und Lieferbedingungen sowie den Gültigkeitszeitraum. Datum und Version helfen, verschiedene Preisstände voneinander zu unterscheiden.</t>
  </si>
  <si>
    <t>SCHRITT 2 – Artikel erfassen (Pflichtfelder)</t>
  </si>
  <si>
    <t>Füllen Sie pro Artikel mindestens aus: Art.-Nr. (eindeutig!), Produktbezeichnung, Warengruppe (Dropdown), Einheit (Dropdown), Einkaufspreis (Spalte H) und Verkaufspreis Netto (Spalte I). Marge, Brutto-Preise und Staffelpreise werden automatisch berechnet.</t>
  </si>
  <si>
    <t>SCHRITT 3 – Rabattstaffeln festlegen</t>
  </si>
  <si>
    <t>Tragen Sie in Spalte M den Rabatt Stufe 1 als Dezimalzahl ein (Bsp.: 0,05 = 5 %). Spalte N berechnet den Staffelpreis automatisch. Stufe 2 (Spalten O/P) ist optional für Großkunden oder Mengenrabatte ab einer höheren Mindestabnahme.</t>
  </si>
  <si>
    <t>SCHRITT 4 – Produktstatus setzen</t>
  </si>
  <si>
    <t>Wählen Sie in Spalte R den Status per Dropdown: Standard, Bestseller, Neuheit oder Auslauf. Bestseller werden grün hervorgehoben, Neuheiten violett und Auslaufartikel rot – so erkenne Vertrieb und Einkauf den Status auf einen Blick.</t>
  </si>
  <si>
    <t>SCHRITT 5 – Margen prüfen (Farbampel)</t>
  </si>
  <si>
    <t>Die Spalte J (Marge %) wird automatisch eingefärbt: Grün = ≥ 35 % Zielmarge erreicht, Gelb = 20–34 % akzeptabel, Rot = &lt; 20 % kritisch. Prüfen Sie rote Felder vor Freigabe der Liste.</t>
  </si>
  <si>
    <t>SCHRITT 6 – Auswertung nutzen</t>
  </si>
  <si>
    <t>Wechseln Sie zur Registerkarte 'Auswertung' für automatische Kennzahlen: Anzahl Artikel, Ø Marge je Warengruppe, Artikel mit kritischer Marge, sowie Statusverteilung. Alle Werte aktualisieren sich sofort bei Änderungen in der Preisliste.</t>
  </si>
  <si>
    <t>HINWEIS – MwSt. 7 % vs. 19 %</t>
  </si>
  <si>
    <t>Spalte K zeigt den Brutto-Preis mit 19 % MwSt., Spalte L mit 7 % MwSt. (z. B. Lebensmittel, Bücher, bestimmte Dienstleistungen). Befüllen Sie nur die zutreffende Spalte; die jeweils andere lassen Sie leer oder tragen 0 ein.</t>
  </si>
  <si>
    <t>HINWEIS – Versionierung &amp; Freigabe</t>
  </si>
  <si>
    <t>Empfehlung: Speichern Sie jede freigegebene Preisliste als neue Datei (z. B. Preisliste_v2026-2.xlsx) und exportieren Sie eine PDF für Außendienst und Kunden. So behalten Sie jederzeit Nachvollziehbarkeit gemäß HGB/GoBD-konformer Ablage.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</si>
</sst>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0.0%"/>
  </numFmts>
  <fonts count="28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i/>
      <sz val="10"/>
      <color rgb="FFFFFFFF"/>
      <name val="Calibri"/>
      <charset val="1"/>
    </font>
    <font>
      <b/>
      <sz val="9"/>
      <color rgb="FF2C3E50"/>
      <name val="Calibri"/>
      <charset val="1"/>
    </font>
    <font>
      <sz val="10"/>
      <color rgb="FF000000"/>
      <name val="Calibri"/>
      <charset val="1"/>
    </font>
    <font>
      <sz val="9"/>
      <color rgb="FF196F3D"/>
      <name val="Calibri"/>
      <charset val="1"/>
    </font>
    <font>
      <sz val="9"/>
      <color rgb="FFB7770D"/>
      <name val="Calibri"/>
      <charset val="1"/>
    </font>
    <font>
      <sz val="9"/>
      <color rgb="FF922B21"/>
      <name val="Calibri"/>
      <charset val="1"/>
    </font>
    <font>
      <sz val="9"/>
      <color rgb="FF7D3C98"/>
      <name val="Calibri"/>
      <charset val="1"/>
    </font>
    <font>
      <sz val="9"/>
      <color rgb="FF566573"/>
      <name val="Calibri"/>
      <charset val="1"/>
    </font>
    <font>
      <b/>
      <sz val="9"/>
      <color rgb="FFFFFFFF"/>
      <name val="Calibri"/>
      <charset val="1"/>
    </font>
    <font>
      <sz val="9"/>
      <color rgb="FF2C3E50"/>
      <name val="Calibri"/>
      <charset val="1"/>
    </font>
    <font>
      <sz val="9"/>
      <color rgb="FF000000"/>
      <name val="Calibri"/>
      <charset val="1"/>
    </font>
    <font>
      <b/>
      <sz val="9"/>
      <color rgb="FF000000"/>
      <name val="Calibri"/>
      <charset val="1"/>
    </font>
    <font>
      <b/>
      <sz val="8"/>
      <color rgb="FFFFFFFF"/>
      <name val="Calibri"/>
      <charset val="1"/>
    </font>
    <font>
      <sz val="9"/>
      <color rgb="FF444444"/>
      <name val="Calibri"/>
      <charset val="1"/>
    </font>
    <font>
      <i/>
      <sz val="9"/>
      <color rgb="FF555555"/>
      <name val="Calibri"/>
      <charset val="1"/>
    </font>
    <font>
      <b/>
      <sz val="11"/>
      <color rgb="FFFFFFFF"/>
      <name val="Calibri"/>
      <charset val="1"/>
    </font>
    <font>
      <b/>
      <sz val="11"/>
      <color rgb="FF2C3E50"/>
      <name val="Calibri"/>
      <charset val="1"/>
    </font>
    <font>
      <b/>
      <sz val="10"/>
      <color rgb="FF922B21"/>
      <name val="Calibri"/>
      <charset val="1"/>
    </font>
    <font>
      <b/>
      <sz val="11"/>
      <color rgb="FF922B21"/>
      <name val="Calibri"/>
      <charset val="1"/>
    </font>
    <font>
      <b/>
      <sz val="18"/>
      <color rgb="FFFFFFFF"/>
      <name val="Calibri"/>
      <charset val="1"/>
    </font>
    <font>
      <b/>
      <sz val="20"/>
      <color rgb="FF2C3E50"/>
      <name val="Calibri"/>
      <charset val="1"/>
    </font>
    <font>
      <b/>
      <sz val="20"/>
      <color rgb="FF4A235A"/>
      <name val="Calibri"/>
      <charset val="1"/>
    </font>
    <font>
      <b/>
      <sz val="20"/>
      <color rgb="FF196F3D"/>
      <name val="Calibri"/>
      <charset val="1"/>
    </font>
    <font>
      <b/>
      <sz val="20"/>
      <color rgb="FF922B21"/>
      <name val="Calibri"/>
      <charset val="1"/>
    </font>
    <font>
      <b/>
      <sz val="16"/>
      <color rgb="FFFFFFFF"/>
      <name val="Calibri"/>
      <charset val="1"/>
    </font>
    <font>
      <sz val="10"/>
      <color rgb="FF222222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2C3E50"/>
        <bgColor rgb="FF444444"/>
      </patternFill>
    </fill>
    <fill>
      <patternFill patternType="solid">
        <fgColor rgb="FF196F3D"/>
        <bgColor rgb="FF008080"/>
      </patternFill>
    </fill>
    <fill>
      <patternFill patternType="solid">
        <fgColor rgb="FFF2F3F4"/>
        <bgColor rgb="FFFDFEFE"/>
      </patternFill>
    </fill>
    <fill>
      <patternFill patternType="solid">
        <fgColor rgb="FFD5F5E3"/>
        <bgColor rgb="FFCCFFFF"/>
      </patternFill>
    </fill>
    <fill>
      <patternFill patternType="solid">
        <fgColor rgb="FFFDFEFE"/>
        <bgColor rgb="FFFFFFFF"/>
      </patternFill>
    </fill>
    <fill>
      <patternFill patternType="solid">
        <fgColor rgb="FF7D3C98"/>
        <bgColor rgb="FF993366"/>
      </patternFill>
    </fill>
    <fill>
      <patternFill patternType="solid">
        <fgColor rgb="FF566573"/>
        <bgColor rgb="FF555555"/>
      </patternFill>
    </fill>
    <fill>
      <patternFill patternType="solid">
        <fgColor rgb="FF922B21"/>
        <bgColor rgb="FF993366"/>
      </patternFill>
    </fill>
    <fill>
      <patternFill patternType="solid">
        <fgColor rgb="FF4A235A"/>
        <bgColor rgb="FF444444"/>
      </patternFill>
    </fill>
    <fill>
      <patternFill patternType="solid">
        <fgColor rgb="FFB7770D"/>
        <bgColor rgb="FFFF6600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196F3D"/>
      </bottom>
      <diagonal/>
    </border>
    <border>
      <left style="thin">
        <color rgb="FF2C3E50"/>
      </left>
      <right style="thin">
        <color rgb="FF2C3E50"/>
      </right>
      <top style="medium">
        <color rgb="FF2C3E50"/>
      </top>
      <bottom style="medium">
        <color rgb="FFB7770D"/>
      </bottom>
      <diagonal/>
    </border>
    <border>
      <left style="thin">
        <color rgb="FF2C3E50"/>
      </left>
      <right/>
      <top style="medium">
        <color rgb="FF2C3E50"/>
      </top>
      <bottom style="medium">
        <color rgb="FFB7770D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BDC3C7"/>
      </left>
      <right/>
      <top style="thin">
        <color rgb="FFBDC3C7"/>
      </top>
      <bottom style="thin">
        <color rgb="FFBDC3C7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medium">
        <color rgb="FF2C3E50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horizontal="left" vertical="center"/>
    </xf>
    <xf numFmtId="0" fontId="21" fillId="10" borderId="0" xfId="0" applyFont="1" applyFill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0" fillId="6" borderId="6" xfId="0" applyFill="1" applyBorder="1"/>
    <xf numFmtId="0" fontId="0" fillId="6" borderId="5" xfId="0" applyFill="1" applyBorder="1"/>
    <xf numFmtId="0" fontId="0" fillId="4" borderId="5" xfId="0" applyFill="1" applyBorder="1"/>
    <xf numFmtId="0" fontId="12" fillId="6" borderId="5" xfId="0" applyFont="1" applyFill="1" applyBorder="1" applyAlignment="1">
      <alignment horizontal="left" vertical="center"/>
    </xf>
    <xf numFmtId="0" fontId="12" fillId="4" borderId="5" xfId="0" applyFont="1" applyFill="1" applyBorder="1" applyAlignment="1">
      <alignment horizontal="left" vertical="center"/>
    </xf>
    <xf numFmtId="0" fontId="10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left" vertical="center"/>
    </xf>
    <xf numFmtId="164" fontId="13" fillId="4" borderId="4" xfId="0" applyNumberFormat="1" applyFont="1" applyFill="1" applyBorder="1" applyAlignment="1">
      <alignment horizontal="right" vertical="center"/>
    </xf>
    <xf numFmtId="165" fontId="3" fillId="5" borderId="4" xfId="0" applyNumberFormat="1" applyFont="1" applyFill="1" applyBorder="1" applyAlignment="1">
      <alignment horizontal="center" vertical="center"/>
    </xf>
    <xf numFmtId="164" fontId="12" fillId="4" borderId="4" xfId="0" applyNumberFormat="1" applyFont="1" applyFill="1" applyBorder="1" applyAlignment="1">
      <alignment horizontal="right" vertical="center"/>
    </xf>
    <xf numFmtId="9" fontId="12" fillId="4" borderId="4" xfId="0" applyNumberFormat="1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5" fillId="4" borderId="4" xfId="0" applyFont="1" applyFill="1" applyBorder="1" applyAlignment="1">
      <alignment horizontal="center" vertical="center"/>
    </xf>
    <xf numFmtId="0" fontId="16" fillId="4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center" vertical="center"/>
    </xf>
    <xf numFmtId="0" fontId="11" fillId="6" borderId="4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left" vertical="center"/>
    </xf>
    <xf numFmtId="164" fontId="13" fillId="6" borderId="4" xfId="0" applyNumberFormat="1" applyFont="1" applyFill="1" applyBorder="1" applyAlignment="1">
      <alignment horizontal="right" vertical="center"/>
    </xf>
    <xf numFmtId="164" fontId="12" fillId="6" borderId="4" xfId="0" applyNumberFormat="1" applyFont="1" applyFill="1" applyBorder="1" applyAlignment="1">
      <alignment horizontal="right" vertical="center"/>
    </xf>
    <xf numFmtId="9" fontId="12" fillId="6" borderId="4" xfId="0" applyNumberFormat="1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6" fillId="6" borderId="4" xfId="0" applyFont="1" applyFill="1" applyBorder="1" applyAlignment="1">
      <alignment horizontal="left" vertical="center" wrapText="1"/>
    </xf>
    <xf numFmtId="0" fontId="14" fillId="8" borderId="4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0" fillId="4" borderId="4" xfId="0" applyFill="1" applyBorder="1"/>
    <xf numFmtId="164" fontId="0" fillId="4" borderId="4" xfId="0" applyNumberFormat="1" applyFill="1" applyBorder="1"/>
    <xf numFmtId="165" fontId="0" fillId="4" borderId="4" xfId="0" applyNumberFormat="1" applyFill="1" applyBorder="1"/>
    <xf numFmtId="9" fontId="0" fillId="4" borderId="4" xfId="0" applyNumberFormat="1" applyFill="1" applyBorder="1"/>
    <xf numFmtId="0" fontId="0" fillId="6" borderId="4" xfId="0" applyFill="1" applyBorder="1"/>
    <xf numFmtId="164" fontId="0" fillId="6" borderId="4" xfId="0" applyNumberFormat="1" applyFill="1" applyBorder="1"/>
    <xf numFmtId="165" fontId="0" fillId="6" borderId="4" xfId="0" applyNumberFormat="1" applyFill="1" applyBorder="1"/>
    <xf numFmtId="9" fontId="0" fillId="6" borderId="4" xfId="0" applyNumberFormat="1" applyFill="1" applyBorder="1"/>
    <xf numFmtId="0" fontId="0" fillId="6" borderId="6" xfId="0" applyFill="1" applyBorder="1"/>
    <xf numFmtId="164" fontId="0" fillId="6" borderId="6" xfId="0" applyNumberFormat="1" applyFill="1" applyBorder="1"/>
    <xf numFmtId="165" fontId="0" fillId="6" borderId="6" xfId="0" applyNumberFormat="1" applyFill="1" applyBorder="1"/>
    <xf numFmtId="9" fontId="0" fillId="6" borderId="6" xfId="0" applyNumberFormat="1" applyFill="1" applyBorder="1"/>
    <xf numFmtId="0" fontId="10" fillId="3" borderId="0" xfId="0" applyFont="1" applyFill="1" applyAlignment="1">
      <alignment horizontal="center" vertical="center"/>
    </xf>
    <xf numFmtId="164" fontId="18" fillId="5" borderId="0" xfId="0" applyNumberFormat="1" applyFont="1" applyFill="1" applyAlignment="1">
      <alignment horizontal="right" vertical="center"/>
    </xf>
    <xf numFmtId="165" fontId="18" fillId="5" borderId="0" xfId="0" applyNumberFormat="1" applyFont="1" applyFill="1" applyAlignment="1">
      <alignment horizontal="right" vertical="center"/>
    </xf>
    <xf numFmtId="0" fontId="10" fillId="10" borderId="0" xfId="0" applyFont="1" applyFill="1" applyAlignment="1">
      <alignment horizontal="center" vertical="center"/>
    </xf>
    <xf numFmtId="0" fontId="17" fillId="10" borderId="0" xfId="0" applyFont="1" applyFill="1" applyAlignment="1">
      <alignment horizontal="center" vertical="center"/>
    </xf>
    <xf numFmtId="0" fontId="10" fillId="11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7" fillId="7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4" borderId="4" xfId="0" applyFont="1" applyFill="1" applyBorder="1" applyAlignment="1">
      <alignment horizontal="left" vertical="center"/>
    </xf>
    <xf numFmtId="164" fontId="12" fillId="4" borderId="4" xfId="0" applyNumberFormat="1" applyFont="1" applyFill="1" applyBorder="1" applyAlignment="1">
      <alignment horizontal="center" vertical="center"/>
    </xf>
    <xf numFmtId="165" fontId="12" fillId="4" borderId="4" xfId="0" applyNumberFormat="1" applyFont="1" applyFill="1" applyBorder="1" applyAlignment="1">
      <alignment horizontal="center" vertical="center"/>
    </xf>
    <xf numFmtId="0" fontId="13" fillId="6" borderId="4" xfId="0" applyFont="1" applyFill="1" applyBorder="1" applyAlignment="1">
      <alignment horizontal="left" vertical="center"/>
    </xf>
    <xf numFmtId="164" fontId="12" fillId="6" borderId="4" xfId="0" applyNumberFormat="1" applyFont="1" applyFill="1" applyBorder="1" applyAlignment="1">
      <alignment horizontal="center" vertical="center"/>
    </xf>
    <xf numFmtId="165" fontId="12" fillId="6" borderId="4" xfId="0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7" borderId="4" xfId="0" applyFont="1" applyFill="1" applyBorder="1" applyAlignment="1">
      <alignment horizontal="center" vertical="center"/>
    </xf>
    <xf numFmtId="0" fontId="10" fillId="9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10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10" fillId="9" borderId="0" xfId="0" applyFont="1" applyFill="1" applyAlignment="1">
      <alignment horizontal="center" vertical="center"/>
    </xf>
    <xf numFmtId="1" fontId="22" fillId="4" borderId="0" xfId="0" applyNumberFormat="1" applyFont="1" applyFill="1" applyAlignment="1">
      <alignment horizontal="center" vertical="center"/>
    </xf>
    <xf numFmtId="1" fontId="23" fillId="4" borderId="0" xfId="0" applyNumberFormat="1" applyFont="1" applyFill="1" applyAlignment="1">
      <alignment horizontal="center" vertical="center"/>
    </xf>
    <xf numFmtId="165" fontId="24" fillId="4" borderId="0" xfId="0" applyNumberFormat="1" applyFont="1" applyFill="1" applyAlignment="1">
      <alignment horizontal="center" vertical="center"/>
    </xf>
    <xf numFmtId="1" fontId="25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7" fillId="10" borderId="0" xfId="0" applyFont="1" applyFill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27" fillId="4" borderId="0" xfId="0" applyFont="1" applyFill="1" applyAlignment="1">
      <alignment horizontal="left" vertical="center" wrapText="1"/>
    </xf>
    <xf numFmtId="0" fontId="17" fillId="2" borderId="0" xfId="0" applyFont="1" applyFill="1" applyAlignment="1">
      <alignment horizontal="left" vertical="center"/>
    </xf>
    <xf numFmtId="0" fontId="17" fillId="10" borderId="0" xfId="0" applyFont="1" applyFill="1" applyAlignment="1">
      <alignment horizontal="left" vertical="center"/>
    </xf>
    <xf numFmtId="0" fontId="17" fillId="9" borderId="0" xfId="0" applyFont="1" applyFill="1" applyAlignment="1">
      <alignment horizontal="left" vertical="center"/>
    </xf>
    <xf numFmtId="0" fontId="17" fillId="11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F3D"/>
      <rgbColor rgb="FF000080"/>
      <rgbColor rgb="FFB7770D"/>
      <rgbColor rgb="FF800080"/>
      <rgbColor rgb="FF008080"/>
      <rgbColor rgb="FFBDC3C7"/>
      <rgbColor rgb="FF555555"/>
      <rgbColor rgb="FF9999FF"/>
      <rgbColor rgb="FF7D3C98"/>
      <rgbColor rgb="FFFDFEFE"/>
      <rgbColor rgb="FFF2F3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5F5E3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573"/>
      <rgbColor rgb="FF969696"/>
      <rgbColor rgb="FF444444"/>
      <rgbColor rgb="FF339966"/>
      <rgbColor rgb="FF003300"/>
      <rgbColor rgb="FF222222"/>
      <rgbColor rgb="FF922B21"/>
      <rgbColor rgb="FF993366"/>
      <rgbColor rgb="FF4A235A"/>
      <rgbColor rgb="FF2C3E5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9"/>
  <sheetViews>
    <sheetView tabSelected="1" zoomScaleNormal="100" workbookViewId="0">
      <pane ySplit="11" topLeftCell="A12" activePane="bottomLeft" state="frozen"/>
      <selection pane="bottomLeft" activeCell="F53" sqref="F53"/>
    </sheetView>
  </sheetViews>
  <sheetFormatPr baseColWidth="10" defaultColWidth="8.7109375" defaultRowHeight="15" x14ac:dyDescent="0.25"/>
  <cols>
    <col min="1" max="1" width="18.85546875" bestFit="1" customWidth="1"/>
    <col min="2" max="2" width="7.42578125" bestFit="1" customWidth="1"/>
    <col min="3" max="3" width="22" customWidth="1"/>
    <col min="4" max="4" width="15.42578125" bestFit="1" customWidth="1"/>
    <col min="5" max="5" width="19.7109375" bestFit="1" customWidth="1"/>
    <col min="6" max="6" width="17.28515625" bestFit="1" customWidth="1"/>
    <col min="7" max="7" width="17.7109375" bestFit="1" customWidth="1"/>
    <col min="8" max="8" width="7.140625" bestFit="1" customWidth="1"/>
    <col min="9" max="9" width="16.85546875" bestFit="1" customWidth="1"/>
    <col min="10" max="10" width="13.28515625" bestFit="1" customWidth="1"/>
    <col min="11" max="11" width="9" bestFit="1" customWidth="1"/>
    <col min="12" max="12" width="8.140625" bestFit="1" customWidth="1"/>
    <col min="13" max="13" width="15.140625" bestFit="1" customWidth="1"/>
    <col min="14" max="14" width="9.140625" bestFit="1" customWidth="1"/>
    <col min="15" max="15" width="8.85546875" bestFit="1" customWidth="1"/>
    <col min="16" max="16" width="9.140625" bestFit="1" customWidth="1"/>
    <col min="17" max="17" width="10.42578125" bestFit="1" customWidth="1"/>
    <col min="18" max="18" width="10.7109375" bestFit="1" customWidth="1"/>
    <col min="19" max="19" width="8.7109375" bestFit="1" customWidth="1"/>
    <col min="20" max="20" width="19.28515625" bestFit="1" customWidth="1"/>
  </cols>
  <sheetData>
    <row r="1" spans="1:20" ht="42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 ht="19.5" customHeight="1" x14ac:dyDescent="0.2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2" t="s">
        <v>2</v>
      </c>
      <c r="N2" s="12"/>
      <c r="O2" s="12"/>
      <c r="P2" s="12"/>
      <c r="Q2" s="12"/>
      <c r="R2" s="12"/>
      <c r="S2" s="12"/>
      <c r="T2" s="12"/>
    </row>
    <row r="3" spans="1:20" ht="6" customHeight="1" x14ac:dyDescent="0.25"/>
    <row r="4" spans="1:20" ht="18" customHeight="1" x14ac:dyDescent="0.25">
      <c r="A4" s="15" t="s">
        <v>3</v>
      </c>
      <c r="B4" s="11" t="s">
        <v>4</v>
      </c>
      <c r="C4" s="11"/>
      <c r="D4" s="11"/>
      <c r="E4" s="15" t="s">
        <v>5</v>
      </c>
      <c r="F4" s="11" t="s">
        <v>6</v>
      </c>
      <c r="G4" s="11"/>
      <c r="H4" s="11"/>
      <c r="I4" s="15" t="s">
        <v>7</v>
      </c>
      <c r="J4" s="11" t="s">
        <v>8</v>
      </c>
      <c r="K4" s="11"/>
      <c r="L4" s="11"/>
      <c r="M4" s="15" t="s">
        <v>9</v>
      </c>
      <c r="N4" s="11" t="s">
        <v>10</v>
      </c>
      <c r="O4" s="11"/>
      <c r="P4" s="11"/>
      <c r="Q4" s="11"/>
      <c r="R4" s="11"/>
    </row>
    <row r="5" spans="1:20" ht="18" customHeight="1" x14ac:dyDescent="0.25">
      <c r="A5" s="15" t="s">
        <v>11</v>
      </c>
      <c r="B5" s="11" t="s">
        <v>12</v>
      </c>
      <c r="C5" s="11"/>
      <c r="D5" s="11"/>
      <c r="E5" s="15" t="s">
        <v>13</v>
      </c>
      <c r="F5" s="11" t="s">
        <v>14</v>
      </c>
      <c r="G5" s="11"/>
      <c r="H5" s="11"/>
      <c r="I5" s="15" t="s">
        <v>15</v>
      </c>
      <c r="J5" s="11" t="s">
        <v>16</v>
      </c>
      <c r="K5" s="11"/>
      <c r="L5" s="11"/>
      <c r="M5" s="15" t="s">
        <v>17</v>
      </c>
      <c r="N5" s="11" t="s">
        <v>18</v>
      </c>
      <c r="O5" s="11"/>
      <c r="P5" s="11"/>
      <c r="Q5" s="11"/>
      <c r="R5" s="11"/>
    </row>
    <row r="6" spans="1:20" ht="18" customHeight="1" x14ac:dyDescent="0.25">
      <c r="A6" s="15" t="s">
        <v>19</v>
      </c>
      <c r="B6" s="11" t="s">
        <v>20</v>
      </c>
      <c r="C6" s="11"/>
      <c r="D6" s="11"/>
      <c r="E6" s="15" t="s">
        <v>21</v>
      </c>
      <c r="F6" s="11" t="s">
        <v>22</v>
      </c>
      <c r="G6" s="11"/>
      <c r="H6" s="11"/>
      <c r="I6" s="15" t="s">
        <v>23</v>
      </c>
      <c r="J6" s="11" t="s">
        <v>24</v>
      </c>
      <c r="K6" s="11"/>
      <c r="L6" s="11"/>
      <c r="M6" s="15" t="s">
        <v>25</v>
      </c>
      <c r="N6" s="11" t="s">
        <v>26</v>
      </c>
      <c r="O6" s="11"/>
      <c r="P6" s="11"/>
      <c r="Q6" s="11"/>
      <c r="R6" s="11"/>
    </row>
    <row r="7" spans="1:20" ht="18" customHeight="1" x14ac:dyDescent="0.25">
      <c r="A7" s="15" t="s">
        <v>27</v>
      </c>
      <c r="B7" s="11" t="s">
        <v>28</v>
      </c>
      <c r="C7" s="11"/>
      <c r="D7" s="11"/>
      <c r="E7" s="15" t="s">
        <v>29</v>
      </c>
      <c r="F7" s="11" t="s">
        <v>30</v>
      </c>
      <c r="G7" s="11"/>
      <c r="H7" s="11"/>
      <c r="I7" s="15" t="s">
        <v>31</v>
      </c>
      <c r="J7" s="11" t="s">
        <v>32</v>
      </c>
      <c r="K7" s="11"/>
      <c r="L7" s="11"/>
      <c r="M7" s="15" t="s">
        <v>33</v>
      </c>
      <c r="N7" s="11" t="s">
        <v>34</v>
      </c>
      <c r="O7" s="11"/>
      <c r="P7" s="11"/>
      <c r="Q7" s="11"/>
      <c r="R7" s="11"/>
    </row>
    <row r="8" spans="1:20" ht="6" customHeight="1" x14ac:dyDescent="0.25"/>
    <row r="9" spans="1:20" ht="15.75" customHeight="1" x14ac:dyDescent="0.25">
      <c r="A9" s="15" t="s">
        <v>35</v>
      </c>
      <c r="D9" s="16" t="s">
        <v>36</v>
      </c>
      <c r="G9" s="17" t="s">
        <v>37</v>
      </c>
      <c r="J9" s="18" t="s">
        <v>38</v>
      </c>
      <c r="M9" s="19" t="s">
        <v>39</v>
      </c>
      <c r="O9" s="20" t="s">
        <v>40</v>
      </c>
      <c r="Q9" s="17" t="s">
        <v>41</v>
      </c>
    </row>
    <row r="10" spans="1:20" ht="6" customHeight="1" x14ac:dyDescent="0.25"/>
    <row r="11" spans="1:20" ht="33.75" customHeight="1" x14ac:dyDescent="0.25">
      <c r="A11" s="21" t="s">
        <v>42</v>
      </c>
      <c r="B11" s="21" t="s">
        <v>43</v>
      </c>
      <c r="C11" s="10" t="s">
        <v>44</v>
      </c>
      <c r="D11" s="10"/>
      <c r="E11" s="21" t="s">
        <v>45</v>
      </c>
      <c r="F11" s="21" t="s">
        <v>46</v>
      </c>
      <c r="G11" s="21" t="s">
        <v>47</v>
      </c>
      <c r="H11" s="21" t="s">
        <v>48</v>
      </c>
      <c r="I11" s="21" t="s">
        <v>49</v>
      </c>
      <c r="J11" s="21" t="s">
        <v>50</v>
      </c>
      <c r="K11" s="21" t="s">
        <v>51</v>
      </c>
      <c r="L11" s="21" t="s">
        <v>52</v>
      </c>
      <c r="M11" s="21" t="s">
        <v>53</v>
      </c>
      <c r="N11" s="21" t="s">
        <v>54</v>
      </c>
      <c r="O11" s="21" t="s">
        <v>55</v>
      </c>
      <c r="P11" s="21" t="s">
        <v>56</v>
      </c>
      <c r="Q11" s="21" t="s">
        <v>57</v>
      </c>
      <c r="R11" s="21" t="s">
        <v>58</v>
      </c>
      <c r="S11" s="21" t="s">
        <v>59</v>
      </c>
      <c r="T11" s="21" t="s">
        <v>60</v>
      </c>
    </row>
    <row r="12" spans="1:20" ht="16.5" customHeight="1" x14ac:dyDescent="0.25">
      <c r="A12" s="22">
        <v>1</v>
      </c>
      <c r="B12" s="23" t="s">
        <v>61</v>
      </c>
      <c r="C12" s="9" t="s">
        <v>62</v>
      </c>
      <c r="D12" s="9"/>
      <c r="E12" s="24" t="s">
        <v>63</v>
      </c>
      <c r="F12" s="24" t="s">
        <v>64</v>
      </c>
      <c r="G12" s="24" t="s">
        <v>65</v>
      </c>
      <c r="H12" s="25">
        <v>18.5</v>
      </c>
      <c r="I12" s="25">
        <v>34.9</v>
      </c>
      <c r="J12" s="26">
        <f t="shared" ref="J12:J46" si="0">IF(I12=0,"",ROUND((I12-H12)/I12,4))</f>
        <v>0.46989999999999998</v>
      </c>
      <c r="K12" s="27">
        <f t="shared" ref="K12:K23" si="1">IF(I12="","",ROUND(I12*1.19,2))</f>
        <v>41.53</v>
      </c>
      <c r="L12" s="27"/>
      <c r="M12" s="28">
        <v>0.05</v>
      </c>
      <c r="N12" s="27">
        <f t="shared" ref="N12:N24" si="2">IF(I12="","",IF(M12="","",ROUND(I12*(1-M12),2)))</f>
        <v>33.159999999999997</v>
      </c>
      <c r="O12" s="28">
        <v>0.1</v>
      </c>
      <c r="P12" s="27">
        <f t="shared" ref="P12:P24" si="3">IF(I12="","",IF(O12="","",ROUND(I12*(1-O12),2)))</f>
        <v>31.41</v>
      </c>
      <c r="Q12" s="29">
        <v>1</v>
      </c>
      <c r="R12" s="30" t="s">
        <v>66</v>
      </c>
      <c r="S12" s="31" t="s">
        <v>67</v>
      </c>
      <c r="T12" s="32" t="s">
        <v>68</v>
      </c>
    </row>
    <row r="13" spans="1:20" ht="16.5" customHeight="1" x14ac:dyDescent="0.25">
      <c r="A13" s="33">
        <v>2</v>
      </c>
      <c r="B13" s="34" t="s">
        <v>69</v>
      </c>
      <c r="C13" s="8" t="s">
        <v>70</v>
      </c>
      <c r="D13" s="8"/>
      <c r="E13" s="35" t="s">
        <v>63</v>
      </c>
      <c r="F13" s="35" t="s">
        <v>71</v>
      </c>
      <c r="G13" s="35" t="s">
        <v>65</v>
      </c>
      <c r="H13" s="36">
        <v>22</v>
      </c>
      <c r="I13" s="36">
        <v>44.9</v>
      </c>
      <c r="J13" s="26">
        <f t="shared" si="0"/>
        <v>0.51</v>
      </c>
      <c r="K13" s="37">
        <f t="shared" si="1"/>
        <v>53.43</v>
      </c>
      <c r="L13" s="37"/>
      <c r="M13" s="38">
        <v>0.05</v>
      </c>
      <c r="N13" s="37">
        <f t="shared" si="2"/>
        <v>42.66</v>
      </c>
      <c r="O13" s="38">
        <v>0.12</v>
      </c>
      <c r="P13" s="37">
        <f t="shared" si="3"/>
        <v>39.51</v>
      </c>
      <c r="Q13" s="39">
        <v>1</v>
      </c>
      <c r="R13" s="40" t="s">
        <v>72</v>
      </c>
      <c r="S13" s="41" t="s">
        <v>73</v>
      </c>
      <c r="T13" s="42" t="s">
        <v>74</v>
      </c>
    </row>
    <row r="14" spans="1:20" ht="16.5" customHeight="1" x14ac:dyDescent="0.25">
      <c r="A14" s="22">
        <v>3</v>
      </c>
      <c r="B14" s="23" t="s">
        <v>75</v>
      </c>
      <c r="C14" s="9" t="s">
        <v>76</v>
      </c>
      <c r="D14" s="9"/>
      <c r="E14" s="24" t="s">
        <v>63</v>
      </c>
      <c r="F14" s="24" t="s">
        <v>77</v>
      </c>
      <c r="G14" s="24" t="s">
        <v>65</v>
      </c>
      <c r="H14" s="25">
        <v>12.8</v>
      </c>
      <c r="I14" s="25">
        <v>28</v>
      </c>
      <c r="J14" s="26">
        <f t="shared" si="0"/>
        <v>0.54290000000000005</v>
      </c>
      <c r="K14" s="27">
        <f t="shared" si="1"/>
        <v>33.32</v>
      </c>
      <c r="L14" s="27"/>
      <c r="M14" s="28">
        <v>0.03</v>
      </c>
      <c r="N14" s="27">
        <f t="shared" si="2"/>
        <v>27.16</v>
      </c>
      <c r="O14" s="28">
        <v>0.08</v>
      </c>
      <c r="P14" s="27">
        <f t="shared" si="3"/>
        <v>25.76</v>
      </c>
      <c r="Q14" s="29">
        <v>5</v>
      </c>
      <c r="R14" s="43" t="s">
        <v>78</v>
      </c>
      <c r="S14" s="31" t="s">
        <v>67</v>
      </c>
      <c r="T14" s="32" t="s">
        <v>79</v>
      </c>
    </row>
    <row r="15" spans="1:20" ht="16.5" customHeight="1" x14ac:dyDescent="0.25">
      <c r="A15" s="33">
        <v>4</v>
      </c>
      <c r="B15" s="34" t="s">
        <v>80</v>
      </c>
      <c r="C15" s="8" t="s">
        <v>81</v>
      </c>
      <c r="D15" s="8"/>
      <c r="E15" s="35" t="s">
        <v>63</v>
      </c>
      <c r="F15" s="35" t="s">
        <v>77</v>
      </c>
      <c r="G15" s="35" t="s">
        <v>65</v>
      </c>
      <c r="H15" s="36">
        <v>3.9</v>
      </c>
      <c r="I15" s="36">
        <v>9.9</v>
      </c>
      <c r="J15" s="26">
        <f t="shared" si="0"/>
        <v>0.60609999999999997</v>
      </c>
      <c r="K15" s="37">
        <f t="shared" si="1"/>
        <v>11.78</v>
      </c>
      <c r="L15" s="37"/>
      <c r="M15" s="38">
        <v>0.05</v>
      </c>
      <c r="N15" s="37">
        <f t="shared" si="2"/>
        <v>9.41</v>
      </c>
      <c r="O15" s="38">
        <v>0.1</v>
      </c>
      <c r="P15" s="37">
        <f t="shared" si="3"/>
        <v>8.91</v>
      </c>
      <c r="Q15" s="39">
        <v>10</v>
      </c>
      <c r="R15" s="30" t="s">
        <v>66</v>
      </c>
      <c r="S15" s="41" t="s">
        <v>67</v>
      </c>
      <c r="T15" s="42" t="s">
        <v>82</v>
      </c>
    </row>
    <row r="16" spans="1:20" ht="16.5" customHeight="1" x14ac:dyDescent="0.25">
      <c r="A16" s="22">
        <v>5</v>
      </c>
      <c r="B16" s="23" t="s">
        <v>83</v>
      </c>
      <c r="C16" s="9" t="s">
        <v>84</v>
      </c>
      <c r="D16" s="9"/>
      <c r="E16" s="24" t="s">
        <v>85</v>
      </c>
      <c r="F16" s="24" t="s">
        <v>86</v>
      </c>
      <c r="G16" s="24" t="s">
        <v>65</v>
      </c>
      <c r="H16" s="25">
        <v>148</v>
      </c>
      <c r="I16" s="25">
        <v>299</v>
      </c>
      <c r="J16" s="26">
        <f t="shared" si="0"/>
        <v>0.505</v>
      </c>
      <c r="K16" s="27">
        <f t="shared" si="1"/>
        <v>355.81</v>
      </c>
      <c r="L16" s="27"/>
      <c r="M16" s="28">
        <v>0.03</v>
      </c>
      <c r="N16" s="27">
        <f t="shared" si="2"/>
        <v>290.02999999999997</v>
      </c>
      <c r="O16" s="28">
        <v>0.08</v>
      </c>
      <c r="P16" s="27">
        <f t="shared" si="3"/>
        <v>275.08</v>
      </c>
      <c r="Q16" s="29">
        <v>1</v>
      </c>
      <c r="R16" s="43" t="s">
        <v>78</v>
      </c>
      <c r="S16" s="31" t="s">
        <v>67</v>
      </c>
      <c r="T16" s="32" t="s">
        <v>87</v>
      </c>
    </row>
    <row r="17" spans="1:20" ht="16.5" customHeight="1" x14ac:dyDescent="0.25">
      <c r="A17" s="33">
        <v>6</v>
      </c>
      <c r="B17" s="34" t="s">
        <v>88</v>
      </c>
      <c r="C17" s="8" t="s">
        <v>89</v>
      </c>
      <c r="D17" s="8"/>
      <c r="E17" s="35" t="s">
        <v>85</v>
      </c>
      <c r="F17" s="35" t="s">
        <v>90</v>
      </c>
      <c r="G17" s="35" t="s">
        <v>65</v>
      </c>
      <c r="H17" s="36">
        <v>89</v>
      </c>
      <c r="I17" s="36">
        <v>179</v>
      </c>
      <c r="J17" s="26">
        <f t="shared" si="0"/>
        <v>0.50280000000000002</v>
      </c>
      <c r="K17" s="37">
        <f t="shared" si="1"/>
        <v>213.01</v>
      </c>
      <c r="L17" s="37"/>
      <c r="M17" s="38">
        <v>0.05</v>
      </c>
      <c r="N17" s="37">
        <f t="shared" si="2"/>
        <v>170.05</v>
      </c>
      <c r="O17" s="38">
        <v>0.1</v>
      </c>
      <c r="P17" s="37">
        <f t="shared" si="3"/>
        <v>161.1</v>
      </c>
      <c r="Q17" s="39">
        <v>1</v>
      </c>
      <c r="R17" s="40" t="s">
        <v>72</v>
      </c>
      <c r="S17" s="41" t="s">
        <v>91</v>
      </c>
      <c r="T17" s="42" t="s">
        <v>92</v>
      </c>
    </row>
    <row r="18" spans="1:20" ht="16.5" customHeight="1" x14ac:dyDescent="0.25">
      <c r="A18" s="22">
        <v>7</v>
      </c>
      <c r="B18" s="23" t="s">
        <v>93</v>
      </c>
      <c r="C18" s="9" t="s">
        <v>94</v>
      </c>
      <c r="D18" s="9"/>
      <c r="E18" s="24" t="s">
        <v>85</v>
      </c>
      <c r="F18" s="24" t="s">
        <v>95</v>
      </c>
      <c r="G18" s="24" t="s">
        <v>65</v>
      </c>
      <c r="H18" s="25">
        <v>44</v>
      </c>
      <c r="I18" s="25">
        <v>89</v>
      </c>
      <c r="J18" s="26">
        <f t="shared" si="0"/>
        <v>0.50560000000000005</v>
      </c>
      <c r="K18" s="27">
        <f t="shared" si="1"/>
        <v>105.91</v>
      </c>
      <c r="L18" s="27"/>
      <c r="M18" s="28">
        <v>0.05</v>
      </c>
      <c r="N18" s="27">
        <f t="shared" si="2"/>
        <v>84.55</v>
      </c>
      <c r="O18" s="28">
        <v>0.1</v>
      </c>
      <c r="P18" s="27">
        <f t="shared" si="3"/>
        <v>80.099999999999994</v>
      </c>
      <c r="Q18" s="29">
        <v>1</v>
      </c>
      <c r="R18" s="43" t="s">
        <v>78</v>
      </c>
      <c r="S18" s="31" t="s">
        <v>67</v>
      </c>
      <c r="T18" s="32" t="s">
        <v>96</v>
      </c>
    </row>
    <row r="19" spans="1:20" ht="16.5" customHeight="1" x14ac:dyDescent="0.25">
      <c r="A19" s="33">
        <v>8</v>
      </c>
      <c r="B19" s="34" t="s">
        <v>97</v>
      </c>
      <c r="C19" s="8" t="s">
        <v>98</v>
      </c>
      <c r="D19" s="8"/>
      <c r="E19" s="35" t="s">
        <v>85</v>
      </c>
      <c r="F19" s="35" t="s">
        <v>99</v>
      </c>
      <c r="G19" s="35" t="s">
        <v>65</v>
      </c>
      <c r="H19" s="36">
        <v>52</v>
      </c>
      <c r="I19" s="36">
        <v>109</v>
      </c>
      <c r="J19" s="26">
        <f t="shared" si="0"/>
        <v>0.52290000000000003</v>
      </c>
      <c r="K19" s="37">
        <f t="shared" si="1"/>
        <v>129.71</v>
      </c>
      <c r="L19" s="37"/>
      <c r="M19" s="38">
        <v>0.03</v>
      </c>
      <c r="N19" s="37">
        <f t="shared" si="2"/>
        <v>105.73</v>
      </c>
      <c r="O19" s="38">
        <v>7.0000000000000007E-2</v>
      </c>
      <c r="P19" s="37">
        <f t="shared" si="3"/>
        <v>101.37</v>
      </c>
      <c r="Q19" s="39">
        <v>1</v>
      </c>
      <c r="R19" s="43" t="s">
        <v>78</v>
      </c>
      <c r="S19" s="41" t="s">
        <v>67</v>
      </c>
      <c r="T19" s="42" t="s">
        <v>100</v>
      </c>
    </row>
    <row r="20" spans="1:20" ht="16.5" customHeight="1" x14ac:dyDescent="0.25">
      <c r="A20" s="22">
        <v>9</v>
      </c>
      <c r="B20" s="23" t="s">
        <v>101</v>
      </c>
      <c r="C20" s="9" t="s">
        <v>102</v>
      </c>
      <c r="D20" s="9"/>
      <c r="E20" s="24" t="s">
        <v>103</v>
      </c>
      <c r="F20" s="24" t="s">
        <v>104</v>
      </c>
      <c r="G20" s="24" t="s">
        <v>105</v>
      </c>
      <c r="H20" s="25">
        <v>4.2</v>
      </c>
      <c r="I20" s="25">
        <v>8.9</v>
      </c>
      <c r="J20" s="26">
        <f t="shared" si="0"/>
        <v>0.52810000000000001</v>
      </c>
      <c r="K20" s="27">
        <f t="shared" si="1"/>
        <v>10.59</v>
      </c>
      <c r="L20" s="27"/>
      <c r="M20" s="28">
        <v>0.05</v>
      </c>
      <c r="N20" s="27">
        <f t="shared" si="2"/>
        <v>8.4600000000000009</v>
      </c>
      <c r="O20" s="28">
        <v>0.12</v>
      </c>
      <c r="P20" s="27">
        <f t="shared" si="3"/>
        <v>7.83</v>
      </c>
      <c r="Q20" s="29">
        <v>5</v>
      </c>
      <c r="R20" s="30" t="s">
        <v>66</v>
      </c>
      <c r="S20" s="31" t="s">
        <v>67</v>
      </c>
      <c r="T20" s="32" t="s">
        <v>106</v>
      </c>
    </row>
    <row r="21" spans="1:20" ht="16.5" customHeight="1" x14ac:dyDescent="0.25">
      <c r="A21" s="33">
        <v>10</v>
      </c>
      <c r="B21" s="34" t="s">
        <v>107</v>
      </c>
      <c r="C21" s="8" t="s">
        <v>108</v>
      </c>
      <c r="D21" s="8"/>
      <c r="E21" s="35" t="s">
        <v>103</v>
      </c>
      <c r="F21" s="35" t="s">
        <v>109</v>
      </c>
      <c r="G21" s="35" t="s">
        <v>65</v>
      </c>
      <c r="H21" s="36">
        <v>14.5</v>
      </c>
      <c r="I21" s="36">
        <v>29.9</v>
      </c>
      <c r="J21" s="26">
        <f t="shared" si="0"/>
        <v>0.5151</v>
      </c>
      <c r="K21" s="37">
        <f t="shared" si="1"/>
        <v>35.58</v>
      </c>
      <c r="L21" s="37"/>
      <c r="M21" s="38">
        <v>0.05</v>
      </c>
      <c r="N21" s="37">
        <f t="shared" si="2"/>
        <v>28.41</v>
      </c>
      <c r="O21" s="38">
        <v>0.1</v>
      </c>
      <c r="P21" s="37">
        <f t="shared" si="3"/>
        <v>26.91</v>
      </c>
      <c r="Q21" s="39">
        <v>3</v>
      </c>
      <c r="R21" s="43" t="s">
        <v>78</v>
      </c>
      <c r="S21" s="41" t="s">
        <v>67</v>
      </c>
      <c r="T21" s="42" t="s">
        <v>110</v>
      </c>
    </row>
    <row r="22" spans="1:20" ht="16.5" customHeight="1" x14ac:dyDescent="0.25">
      <c r="A22" s="22">
        <v>11</v>
      </c>
      <c r="B22" s="23" t="s">
        <v>111</v>
      </c>
      <c r="C22" s="9" t="s">
        <v>112</v>
      </c>
      <c r="D22" s="9"/>
      <c r="E22" s="24" t="s">
        <v>103</v>
      </c>
      <c r="F22" s="24" t="s">
        <v>113</v>
      </c>
      <c r="G22" s="24" t="s">
        <v>114</v>
      </c>
      <c r="H22" s="25">
        <v>1.2</v>
      </c>
      <c r="I22" s="25">
        <v>2.9</v>
      </c>
      <c r="J22" s="26">
        <f t="shared" si="0"/>
        <v>0.58620000000000005</v>
      </c>
      <c r="K22" s="27">
        <f t="shared" si="1"/>
        <v>3.45</v>
      </c>
      <c r="L22" s="27"/>
      <c r="M22" s="28">
        <v>0.1</v>
      </c>
      <c r="N22" s="27">
        <f t="shared" si="2"/>
        <v>2.61</v>
      </c>
      <c r="O22" s="28">
        <v>0.15</v>
      </c>
      <c r="P22" s="27">
        <f t="shared" si="3"/>
        <v>2.4700000000000002</v>
      </c>
      <c r="Q22" s="29">
        <v>10</v>
      </c>
      <c r="R22" s="43" t="s">
        <v>78</v>
      </c>
      <c r="S22" s="31" t="s">
        <v>67</v>
      </c>
      <c r="T22" s="32"/>
    </row>
    <row r="23" spans="1:20" ht="16.5" customHeight="1" x14ac:dyDescent="0.25">
      <c r="A23" s="33">
        <v>12</v>
      </c>
      <c r="B23" s="34" t="s">
        <v>115</v>
      </c>
      <c r="C23" s="8" t="s">
        <v>116</v>
      </c>
      <c r="D23" s="8"/>
      <c r="E23" s="35" t="s">
        <v>103</v>
      </c>
      <c r="F23" s="35" t="s">
        <v>78</v>
      </c>
      <c r="G23" s="35" t="s">
        <v>117</v>
      </c>
      <c r="H23" s="36">
        <v>3.8</v>
      </c>
      <c r="I23" s="36">
        <v>7.5</v>
      </c>
      <c r="J23" s="26">
        <f t="shared" si="0"/>
        <v>0.49330000000000002</v>
      </c>
      <c r="K23" s="37">
        <f t="shared" si="1"/>
        <v>8.93</v>
      </c>
      <c r="L23" s="37"/>
      <c r="M23" s="38">
        <v>0.05</v>
      </c>
      <c r="N23" s="37">
        <f t="shared" si="2"/>
        <v>7.13</v>
      </c>
      <c r="O23" s="38">
        <v>0.1</v>
      </c>
      <c r="P23" s="37">
        <f t="shared" si="3"/>
        <v>6.75</v>
      </c>
      <c r="Q23" s="39">
        <v>3</v>
      </c>
      <c r="R23" s="43" t="s">
        <v>78</v>
      </c>
      <c r="S23" s="41" t="s">
        <v>67</v>
      </c>
      <c r="T23" s="42"/>
    </row>
    <row r="24" spans="1:20" ht="16.5" customHeight="1" x14ac:dyDescent="0.25">
      <c r="A24" s="22">
        <v>13</v>
      </c>
      <c r="B24" s="23" t="s">
        <v>118</v>
      </c>
      <c r="C24" s="9" t="s">
        <v>119</v>
      </c>
      <c r="D24" s="9"/>
      <c r="E24" s="24" t="s">
        <v>103</v>
      </c>
      <c r="F24" s="24" t="s">
        <v>120</v>
      </c>
      <c r="G24" s="24" t="s">
        <v>65</v>
      </c>
      <c r="H24" s="25">
        <v>3.1</v>
      </c>
      <c r="I24" s="25">
        <v>6.9</v>
      </c>
      <c r="J24" s="26">
        <f t="shared" si="0"/>
        <v>0.55069999999999997</v>
      </c>
      <c r="K24" s="27"/>
      <c r="L24" s="27">
        <f>IF(I24="","",ROUND(I24*1.07,2))</f>
        <v>7.38</v>
      </c>
      <c r="M24" s="28">
        <v>0.05</v>
      </c>
      <c r="N24" s="27">
        <f t="shared" si="2"/>
        <v>6.56</v>
      </c>
      <c r="O24" s="28">
        <v>0.12</v>
      </c>
      <c r="P24" s="27">
        <f t="shared" si="3"/>
        <v>6.07</v>
      </c>
      <c r="Q24" s="29">
        <v>12</v>
      </c>
      <c r="R24" s="30" t="s">
        <v>66</v>
      </c>
      <c r="S24" s="31" t="s">
        <v>67</v>
      </c>
      <c r="T24" s="32" t="s">
        <v>121</v>
      </c>
    </row>
    <row r="25" spans="1:20" ht="16.5" customHeight="1" x14ac:dyDescent="0.25">
      <c r="A25" s="33">
        <v>14</v>
      </c>
      <c r="B25" s="34" t="s">
        <v>122</v>
      </c>
      <c r="C25" s="8" t="s">
        <v>123</v>
      </c>
      <c r="D25" s="8"/>
      <c r="E25" s="35" t="s">
        <v>124</v>
      </c>
      <c r="F25" s="35" t="s">
        <v>125</v>
      </c>
      <c r="G25" s="35" t="s">
        <v>126</v>
      </c>
      <c r="H25" s="36">
        <v>4</v>
      </c>
      <c r="I25" s="36">
        <v>9.9</v>
      </c>
      <c r="J25" s="26">
        <f t="shared" si="0"/>
        <v>0.59599999999999997</v>
      </c>
      <c r="K25" s="37">
        <f t="shared" ref="K25:K46" si="4">IF(I25="","",ROUND(I25*1.19,2))</f>
        <v>11.78</v>
      </c>
      <c r="L25" s="37"/>
      <c r="M25" s="38"/>
      <c r="N25" s="37"/>
      <c r="O25" s="38"/>
      <c r="P25" s="37"/>
      <c r="Q25" s="39">
        <v>1</v>
      </c>
      <c r="R25" s="43" t="s">
        <v>78</v>
      </c>
      <c r="S25" s="41" t="s">
        <v>67</v>
      </c>
      <c r="T25" s="42" t="s">
        <v>127</v>
      </c>
    </row>
    <row r="26" spans="1:20" ht="16.5" customHeight="1" x14ac:dyDescent="0.25">
      <c r="A26" s="22">
        <v>15</v>
      </c>
      <c r="B26" s="23" t="s">
        <v>128</v>
      </c>
      <c r="C26" s="9" t="s">
        <v>129</v>
      </c>
      <c r="D26" s="9"/>
      <c r="E26" s="24" t="s">
        <v>124</v>
      </c>
      <c r="F26" s="24" t="s">
        <v>130</v>
      </c>
      <c r="G26" s="24" t="s">
        <v>126</v>
      </c>
      <c r="H26" s="25">
        <v>68</v>
      </c>
      <c r="I26" s="25">
        <v>149</v>
      </c>
      <c r="J26" s="26">
        <f t="shared" si="0"/>
        <v>0.54359999999999997</v>
      </c>
      <c r="K26" s="27">
        <f t="shared" si="4"/>
        <v>177.31</v>
      </c>
      <c r="L26" s="27"/>
      <c r="M26" s="28">
        <v>0.05</v>
      </c>
      <c r="N26" s="27">
        <f>IF(I26="","",IF(M26="","",ROUND(I26*(1-M26),2)))</f>
        <v>141.55000000000001</v>
      </c>
      <c r="O26" s="28">
        <v>0.1</v>
      </c>
      <c r="P26" s="27">
        <f>IF(I26="","",IF(O26="","",ROUND(I26*(1-O26),2)))</f>
        <v>134.1</v>
      </c>
      <c r="Q26" s="29">
        <v>1</v>
      </c>
      <c r="R26" s="30" t="s">
        <v>66</v>
      </c>
      <c r="S26" s="31" t="s">
        <v>67</v>
      </c>
      <c r="T26" s="32" t="s">
        <v>131</v>
      </c>
    </row>
    <row r="27" spans="1:20" ht="16.5" customHeight="1" x14ac:dyDescent="0.25">
      <c r="A27" s="33">
        <v>16</v>
      </c>
      <c r="B27" s="34" t="s">
        <v>132</v>
      </c>
      <c r="C27" s="8" t="s">
        <v>133</v>
      </c>
      <c r="D27" s="8"/>
      <c r="E27" s="35" t="s">
        <v>124</v>
      </c>
      <c r="F27" s="35" t="s">
        <v>134</v>
      </c>
      <c r="G27" s="35" t="s">
        <v>126</v>
      </c>
      <c r="H27" s="36">
        <v>32</v>
      </c>
      <c r="I27" s="36">
        <v>74</v>
      </c>
      <c r="J27" s="26">
        <f t="shared" si="0"/>
        <v>0.56759999999999999</v>
      </c>
      <c r="K27" s="37">
        <f t="shared" si="4"/>
        <v>88.06</v>
      </c>
      <c r="L27" s="37"/>
      <c r="M27" s="38">
        <v>0.05</v>
      </c>
      <c r="N27" s="37">
        <f>IF(I27="","",IF(M27="","",ROUND(I27*(1-M27),2)))</f>
        <v>70.3</v>
      </c>
      <c r="O27" s="38">
        <v>0.1</v>
      </c>
      <c r="P27" s="37">
        <f>IF(I27="","",IF(O27="","",ROUND(I27*(1-O27),2)))</f>
        <v>66.599999999999994</v>
      </c>
      <c r="Q27" s="39">
        <v>1</v>
      </c>
      <c r="R27" s="43" t="s">
        <v>78</v>
      </c>
      <c r="S27" s="41" t="s">
        <v>67</v>
      </c>
      <c r="T27" s="42" t="s">
        <v>135</v>
      </c>
    </row>
    <row r="28" spans="1:20" ht="16.5" customHeight="1" x14ac:dyDescent="0.25">
      <c r="A28" s="22">
        <v>17</v>
      </c>
      <c r="B28" s="23" t="s">
        <v>136</v>
      </c>
      <c r="C28" s="9" t="s">
        <v>137</v>
      </c>
      <c r="D28" s="9"/>
      <c r="E28" s="24" t="s">
        <v>124</v>
      </c>
      <c r="F28" s="24" t="s">
        <v>138</v>
      </c>
      <c r="G28" s="24" t="s">
        <v>126</v>
      </c>
      <c r="H28" s="25">
        <v>19</v>
      </c>
      <c r="I28" s="25">
        <v>44.9</v>
      </c>
      <c r="J28" s="26">
        <f t="shared" si="0"/>
        <v>0.57679999999999998</v>
      </c>
      <c r="K28" s="27">
        <f t="shared" si="4"/>
        <v>53.43</v>
      </c>
      <c r="L28" s="27"/>
      <c r="M28" s="28"/>
      <c r="N28" s="27"/>
      <c r="O28" s="28"/>
      <c r="P28" s="27"/>
      <c r="Q28" s="29">
        <v>1</v>
      </c>
      <c r="R28" s="40" t="s">
        <v>72</v>
      </c>
      <c r="S28" s="31" t="s">
        <v>139</v>
      </c>
      <c r="T28" s="32" t="s">
        <v>140</v>
      </c>
    </row>
    <row r="29" spans="1:20" ht="16.5" customHeight="1" x14ac:dyDescent="0.25">
      <c r="A29" s="33">
        <v>18</v>
      </c>
      <c r="B29" s="34" t="s">
        <v>141</v>
      </c>
      <c r="C29" s="8" t="s">
        <v>142</v>
      </c>
      <c r="D29" s="8"/>
      <c r="E29" s="35" t="s">
        <v>143</v>
      </c>
      <c r="F29" s="35" t="s">
        <v>144</v>
      </c>
      <c r="G29" s="35" t="s">
        <v>145</v>
      </c>
      <c r="H29" s="36">
        <v>55</v>
      </c>
      <c r="I29" s="36">
        <v>110</v>
      </c>
      <c r="J29" s="26">
        <f t="shared" si="0"/>
        <v>0.5</v>
      </c>
      <c r="K29" s="37">
        <f t="shared" si="4"/>
        <v>130.9</v>
      </c>
      <c r="L29" s="37"/>
      <c r="M29" s="38"/>
      <c r="N29" s="37"/>
      <c r="O29" s="38"/>
      <c r="P29" s="37"/>
      <c r="Q29" s="39">
        <v>1</v>
      </c>
      <c r="R29" s="43" t="s">
        <v>78</v>
      </c>
      <c r="S29" s="41" t="s">
        <v>67</v>
      </c>
      <c r="T29" s="42" t="s">
        <v>146</v>
      </c>
    </row>
    <row r="30" spans="1:20" ht="16.5" customHeight="1" x14ac:dyDescent="0.25">
      <c r="A30" s="22">
        <v>19</v>
      </c>
      <c r="B30" s="23" t="s">
        <v>147</v>
      </c>
      <c r="C30" s="9" t="s">
        <v>148</v>
      </c>
      <c r="D30" s="9"/>
      <c r="E30" s="24" t="s">
        <v>143</v>
      </c>
      <c r="F30" s="24" t="s">
        <v>149</v>
      </c>
      <c r="G30" s="24" t="s">
        <v>47</v>
      </c>
      <c r="H30" s="25">
        <v>195</v>
      </c>
      <c r="I30" s="25">
        <v>390</v>
      </c>
      <c r="J30" s="26">
        <f t="shared" si="0"/>
        <v>0.5</v>
      </c>
      <c r="K30" s="27">
        <f t="shared" si="4"/>
        <v>464.1</v>
      </c>
      <c r="L30" s="27"/>
      <c r="M30" s="28">
        <v>0.05</v>
      </c>
      <c r="N30" s="27">
        <f t="shared" ref="N30:N46" si="5">IF(I30="","",IF(M30="","",ROUND(I30*(1-M30),2)))</f>
        <v>370.5</v>
      </c>
      <c r="O30" s="28"/>
      <c r="P30" s="27"/>
      <c r="Q30" s="29">
        <v>1</v>
      </c>
      <c r="R30" s="43" t="s">
        <v>78</v>
      </c>
      <c r="S30" s="31" t="s">
        <v>67</v>
      </c>
      <c r="T30" s="32" t="s">
        <v>150</v>
      </c>
    </row>
    <row r="31" spans="1:20" ht="16.5" customHeight="1" x14ac:dyDescent="0.25">
      <c r="A31" s="33">
        <v>20</v>
      </c>
      <c r="B31" s="34" t="s">
        <v>151</v>
      </c>
      <c r="C31" s="8" t="s">
        <v>152</v>
      </c>
      <c r="D31" s="8"/>
      <c r="E31" s="35" t="s">
        <v>143</v>
      </c>
      <c r="F31" s="35" t="s">
        <v>153</v>
      </c>
      <c r="G31" s="35" t="s">
        <v>154</v>
      </c>
      <c r="H31" s="36">
        <v>280</v>
      </c>
      <c r="I31" s="36">
        <v>580</v>
      </c>
      <c r="J31" s="26">
        <f t="shared" si="0"/>
        <v>0.51719999999999999</v>
      </c>
      <c r="K31" s="37">
        <f t="shared" si="4"/>
        <v>690.2</v>
      </c>
      <c r="L31" s="37"/>
      <c r="M31" s="38">
        <v>0.03</v>
      </c>
      <c r="N31" s="37">
        <f t="shared" si="5"/>
        <v>562.6</v>
      </c>
      <c r="O31" s="38">
        <v>0.08</v>
      </c>
      <c r="P31" s="37">
        <f t="shared" ref="P31:P46" si="6">IF(I31="","",IF(O31="","",ROUND(I31*(1-O31),2)))</f>
        <v>533.6</v>
      </c>
      <c r="Q31" s="39">
        <v>1</v>
      </c>
      <c r="R31" s="30" t="s">
        <v>66</v>
      </c>
      <c r="S31" s="41" t="s">
        <v>67</v>
      </c>
      <c r="T31" s="42" t="s">
        <v>155</v>
      </c>
    </row>
    <row r="32" spans="1:20" ht="16.5" customHeight="1" x14ac:dyDescent="0.25">
      <c r="A32" s="22">
        <v>21</v>
      </c>
      <c r="B32" s="23" t="s">
        <v>156</v>
      </c>
      <c r="C32" s="9" t="s">
        <v>157</v>
      </c>
      <c r="D32" s="9"/>
      <c r="E32" s="24" t="s">
        <v>158</v>
      </c>
      <c r="F32" s="24" t="s">
        <v>159</v>
      </c>
      <c r="G32" s="24" t="s">
        <v>65</v>
      </c>
      <c r="H32" s="25">
        <v>0.65</v>
      </c>
      <c r="I32" s="25">
        <v>1.49</v>
      </c>
      <c r="J32" s="26">
        <f t="shared" si="0"/>
        <v>0.56379999999999997</v>
      </c>
      <c r="K32" s="27">
        <f t="shared" si="4"/>
        <v>1.77</v>
      </c>
      <c r="L32" s="27"/>
      <c r="M32" s="28">
        <v>0.1</v>
      </c>
      <c r="N32" s="27">
        <f t="shared" si="5"/>
        <v>1.34</v>
      </c>
      <c r="O32" s="28">
        <v>0.18</v>
      </c>
      <c r="P32" s="27">
        <f t="shared" si="6"/>
        <v>1.22</v>
      </c>
      <c r="Q32" s="29">
        <v>20</v>
      </c>
      <c r="R32" s="43" t="s">
        <v>78</v>
      </c>
      <c r="S32" s="31" t="s">
        <v>67</v>
      </c>
      <c r="T32" s="32" t="s">
        <v>160</v>
      </c>
    </row>
    <row r="33" spans="1:20" ht="16.5" customHeight="1" x14ac:dyDescent="0.25">
      <c r="A33" s="33">
        <v>22</v>
      </c>
      <c r="B33" s="34" t="s">
        <v>161</v>
      </c>
      <c r="C33" s="8" t="s">
        <v>162</v>
      </c>
      <c r="D33" s="8"/>
      <c r="E33" s="35" t="s">
        <v>158</v>
      </c>
      <c r="F33" s="35" t="s">
        <v>163</v>
      </c>
      <c r="G33" s="35" t="s">
        <v>164</v>
      </c>
      <c r="H33" s="36">
        <v>9.8000000000000007</v>
      </c>
      <c r="I33" s="36">
        <v>19.899999999999999</v>
      </c>
      <c r="J33" s="26">
        <f t="shared" si="0"/>
        <v>0.50749999999999995</v>
      </c>
      <c r="K33" s="37">
        <f t="shared" si="4"/>
        <v>23.68</v>
      </c>
      <c r="L33" s="37"/>
      <c r="M33" s="38">
        <v>0.05</v>
      </c>
      <c r="N33" s="37">
        <f t="shared" si="5"/>
        <v>18.91</v>
      </c>
      <c r="O33" s="38">
        <v>0.12</v>
      </c>
      <c r="P33" s="37">
        <f t="shared" si="6"/>
        <v>17.510000000000002</v>
      </c>
      <c r="Q33" s="39">
        <v>3</v>
      </c>
      <c r="R33" s="43" t="s">
        <v>78</v>
      </c>
      <c r="S33" s="41" t="s">
        <v>67</v>
      </c>
      <c r="T33" s="42" t="s">
        <v>165</v>
      </c>
    </row>
    <row r="34" spans="1:20" ht="16.5" customHeight="1" x14ac:dyDescent="0.25">
      <c r="A34" s="22">
        <v>23</v>
      </c>
      <c r="B34" s="23" t="s">
        <v>166</v>
      </c>
      <c r="C34" s="9" t="s">
        <v>167</v>
      </c>
      <c r="D34" s="9"/>
      <c r="E34" s="24" t="s">
        <v>158</v>
      </c>
      <c r="F34" s="24" t="s">
        <v>168</v>
      </c>
      <c r="G34" s="24" t="s">
        <v>164</v>
      </c>
      <c r="H34" s="25">
        <v>1.9</v>
      </c>
      <c r="I34" s="25">
        <v>3.9</v>
      </c>
      <c r="J34" s="26">
        <f t="shared" si="0"/>
        <v>0.51280000000000003</v>
      </c>
      <c r="K34" s="27">
        <f t="shared" si="4"/>
        <v>4.6399999999999997</v>
      </c>
      <c r="L34" s="27"/>
      <c r="M34" s="28">
        <v>0.1</v>
      </c>
      <c r="N34" s="27">
        <f t="shared" si="5"/>
        <v>3.51</v>
      </c>
      <c r="O34" s="28">
        <v>0.18</v>
      </c>
      <c r="P34" s="27">
        <f t="shared" si="6"/>
        <v>3.2</v>
      </c>
      <c r="Q34" s="29">
        <v>12</v>
      </c>
      <c r="R34" s="30" t="s">
        <v>66</v>
      </c>
      <c r="S34" s="31" t="s">
        <v>67</v>
      </c>
      <c r="T34" s="32"/>
    </row>
    <row r="35" spans="1:20" ht="16.5" customHeight="1" x14ac:dyDescent="0.25">
      <c r="A35" s="33">
        <v>24</v>
      </c>
      <c r="B35" s="34" t="s">
        <v>169</v>
      </c>
      <c r="C35" s="8" t="s">
        <v>170</v>
      </c>
      <c r="D35" s="8"/>
      <c r="E35" s="35" t="s">
        <v>158</v>
      </c>
      <c r="F35" s="35" t="s">
        <v>171</v>
      </c>
      <c r="G35" s="35" t="s">
        <v>117</v>
      </c>
      <c r="H35" s="36">
        <v>6.4</v>
      </c>
      <c r="I35" s="36">
        <v>13.9</v>
      </c>
      <c r="J35" s="26">
        <f t="shared" si="0"/>
        <v>0.53959999999999997</v>
      </c>
      <c r="K35" s="37">
        <f t="shared" si="4"/>
        <v>16.54</v>
      </c>
      <c r="L35" s="37"/>
      <c r="M35" s="38">
        <v>0.05</v>
      </c>
      <c r="N35" s="37">
        <f t="shared" si="5"/>
        <v>13.21</v>
      </c>
      <c r="O35" s="38">
        <v>0.1</v>
      </c>
      <c r="P35" s="37">
        <f t="shared" si="6"/>
        <v>12.51</v>
      </c>
      <c r="Q35" s="39">
        <v>5</v>
      </c>
      <c r="R35" s="44" t="s">
        <v>172</v>
      </c>
      <c r="S35" s="41" t="s">
        <v>67</v>
      </c>
      <c r="T35" s="42" t="s">
        <v>173</v>
      </c>
    </row>
    <row r="36" spans="1:20" ht="16.5" customHeight="1" x14ac:dyDescent="0.25">
      <c r="A36" s="22">
        <v>25</v>
      </c>
      <c r="B36" s="23" t="s">
        <v>174</v>
      </c>
      <c r="C36" s="9" t="s">
        <v>175</v>
      </c>
      <c r="D36" s="9"/>
      <c r="E36" s="24" t="s">
        <v>158</v>
      </c>
      <c r="F36" s="24" t="s">
        <v>176</v>
      </c>
      <c r="G36" s="24" t="s">
        <v>65</v>
      </c>
      <c r="H36" s="25">
        <v>0.28000000000000003</v>
      </c>
      <c r="I36" s="25">
        <v>0.69</v>
      </c>
      <c r="J36" s="26">
        <f t="shared" si="0"/>
        <v>0.59419999999999995</v>
      </c>
      <c r="K36" s="27">
        <f t="shared" si="4"/>
        <v>0.82</v>
      </c>
      <c r="L36" s="27"/>
      <c r="M36" s="28">
        <v>0.1</v>
      </c>
      <c r="N36" s="27">
        <f t="shared" si="5"/>
        <v>0.62</v>
      </c>
      <c r="O36" s="28">
        <v>0.18</v>
      </c>
      <c r="P36" s="27">
        <f t="shared" si="6"/>
        <v>0.56999999999999995</v>
      </c>
      <c r="Q36" s="29">
        <v>50</v>
      </c>
      <c r="R36" s="40" t="s">
        <v>72</v>
      </c>
      <c r="S36" s="31" t="s">
        <v>177</v>
      </c>
      <c r="T36" s="32" t="s">
        <v>178</v>
      </c>
    </row>
    <row r="37" spans="1:20" ht="16.5" customHeight="1" x14ac:dyDescent="0.25">
      <c r="A37" s="45"/>
      <c r="B37" s="45"/>
      <c r="C37" s="7"/>
      <c r="D37" s="7"/>
      <c r="E37" s="45"/>
      <c r="F37" s="45"/>
      <c r="G37" s="45"/>
      <c r="H37" s="46"/>
      <c r="I37" s="46"/>
      <c r="J37" s="47" t="str">
        <f t="shared" si="0"/>
        <v/>
      </c>
      <c r="K37" s="46" t="str">
        <f t="shared" si="4"/>
        <v/>
      </c>
      <c r="L37" s="46" t="str">
        <f t="shared" ref="L37:L46" si="7">IF(I37="","",ROUND(I37*1.07,2))</f>
        <v/>
      </c>
      <c r="M37" s="48"/>
      <c r="N37" s="46" t="str">
        <f t="shared" si="5"/>
        <v/>
      </c>
      <c r="O37" s="48"/>
      <c r="P37" s="46" t="str">
        <f t="shared" si="6"/>
        <v/>
      </c>
      <c r="Q37" s="45"/>
      <c r="R37" s="45"/>
      <c r="S37" s="45"/>
      <c r="T37" s="45"/>
    </row>
    <row r="38" spans="1:20" ht="16.5" customHeight="1" x14ac:dyDescent="0.25">
      <c r="A38" s="49"/>
      <c r="B38" s="49"/>
      <c r="C38" s="6"/>
      <c r="D38" s="6"/>
      <c r="E38" s="49"/>
      <c r="F38" s="49"/>
      <c r="G38" s="49"/>
      <c r="H38" s="50"/>
      <c r="I38" s="50"/>
      <c r="J38" s="51" t="str">
        <f t="shared" si="0"/>
        <v/>
      </c>
      <c r="K38" s="50" t="str">
        <f t="shared" si="4"/>
        <v/>
      </c>
      <c r="L38" s="50" t="str">
        <f t="shared" si="7"/>
        <v/>
      </c>
      <c r="M38" s="52"/>
      <c r="N38" s="50" t="str">
        <f t="shared" si="5"/>
        <v/>
      </c>
      <c r="O38" s="52"/>
      <c r="P38" s="50" t="str">
        <f t="shared" si="6"/>
        <v/>
      </c>
      <c r="Q38" s="49"/>
      <c r="R38" s="49"/>
      <c r="S38" s="49"/>
      <c r="T38" s="49"/>
    </row>
    <row r="39" spans="1:20" ht="16.5" customHeight="1" x14ac:dyDescent="0.25">
      <c r="A39" s="45"/>
      <c r="B39" s="45"/>
      <c r="C39" s="7"/>
      <c r="D39" s="7"/>
      <c r="E39" s="45"/>
      <c r="F39" s="45"/>
      <c r="G39" s="45"/>
      <c r="H39" s="46"/>
      <c r="I39" s="46"/>
      <c r="J39" s="47" t="str">
        <f t="shared" si="0"/>
        <v/>
      </c>
      <c r="K39" s="46" t="str">
        <f t="shared" si="4"/>
        <v/>
      </c>
      <c r="L39" s="46" t="str">
        <f t="shared" si="7"/>
        <v/>
      </c>
      <c r="M39" s="48"/>
      <c r="N39" s="46" t="str">
        <f t="shared" si="5"/>
        <v/>
      </c>
      <c r="O39" s="48"/>
      <c r="P39" s="46" t="str">
        <f t="shared" si="6"/>
        <v/>
      </c>
      <c r="Q39" s="45"/>
      <c r="R39" s="45"/>
      <c r="S39" s="45"/>
      <c r="T39" s="45"/>
    </row>
    <row r="40" spans="1:20" ht="16.5" customHeight="1" x14ac:dyDescent="0.25">
      <c r="A40" s="49"/>
      <c r="B40" s="49"/>
      <c r="C40" s="6"/>
      <c r="D40" s="6"/>
      <c r="E40" s="49"/>
      <c r="F40" s="49"/>
      <c r="G40" s="49"/>
      <c r="H40" s="50"/>
      <c r="I40" s="50"/>
      <c r="J40" s="51" t="str">
        <f t="shared" si="0"/>
        <v/>
      </c>
      <c r="K40" s="50" t="str">
        <f t="shared" si="4"/>
        <v/>
      </c>
      <c r="L40" s="50" t="str">
        <f t="shared" si="7"/>
        <v/>
      </c>
      <c r="M40" s="52"/>
      <c r="N40" s="50" t="str">
        <f t="shared" si="5"/>
        <v/>
      </c>
      <c r="O40" s="52"/>
      <c r="P40" s="50" t="str">
        <f t="shared" si="6"/>
        <v/>
      </c>
      <c r="Q40" s="49"/>
      <c r="R40" s="49"/>
      <c r="S40" s="49"/>
      <c r="T40" s="49"/>
    </row>
    <row r="41" spans="1:20" ht="16.5" customHeight="1" x14ac:dyDescent="0.25">
      <c r="A41" s="45"/>
      <c r="B41" s="45"/>
      <c r="C41" s="7"/>
      <c r="D41" s="7"/>
      <c r="E41" s="45"/>
      <c r="F41" s="45"/>
      <c r="G41" s="45"/>
      <c r="H41" s="46"/>
      <c r="I41" s="46"/>
      <c r="J41" s="47" t="str">
        <f t="shared" si="0"/>
        <v/>
      </c>
      <c r="K41" s="46" t="str">
        <f t="shared" si="4"/>
        <v/>
      </c>
      <c r="L41" s="46" t="str">
        <f t="shared" si="7"/>
        <v/>
      </c>
      <c r="M41" s="48"/>
      <c r="N41" s="46" t="str">
        <f t="shared" si="5"/>
        <v/>
      </c>
      <c r="O41" s="48"/>
      <c r="P41" s="46" t="str">
        <f t="shared" si="6"/>
        <v/>
      </c>
      <c r="Q41" s="45"/>
      <c r="R41" s="45"/>
      <c r="S41" s="45"/>
      <c r="T41" s="45"/>
    </row>
    <row r="42" spans="1:20" ht="16.5" customHeight="1" x14ac:dyDescent="0.25">
      <c r="A42" s="49"/>
      <c r="B42" s="49"/>
      <c r="C42" s="6"/>
      <c r="D42" s="6"/>
      <c r="E42" s="49"/>
      <c r="F42" s="49"/>
      <c r="G42" s="49"/>
      <c r="H42" s="50"/>
      <c r="I42" s="50"/>
      <c r="J42" s="51" t="str">
        <f t="shared" si="0"/>
        <v/>
      </c>
      <c r="K42" s="50" t="str">
        <f t="shared" si="4"/>
        <v/>
      </c>
      <c r="L42" s="50" t="str">
        <f t="shared" si="7"/>
        <v/>
      </c>
      <c r="M42" s="52"/>
      <c r="N42" s="50" t="str">
        <f t="shared" si="5"/>
        <v/>
      </c>
      <c r="O42" s="52"/>
      <c r="P42" s="50" t="str">
        <f t="shared" si="6"/>
        <v/>
      </c>
      <c r="Q42" s="49"/>
      <c r="R42" s="49"/>
      <c r="S42" s="49"/>
      <c r="T42" s="49"/>
    </row>
    <row r="43" spans="1:20" ht="16.5" customHeight="1" x14ac:dyDescent="0.25">
      <c r="A43" s="45"/>
      <c r="B43" s="45"/>
      <c r="C43" s="7"/>
      <c r="D43" s="7"/>
      <c r="E43" s="45"/>
      <c r="F43" s="45"/>
      <c r="G43" s="45"/>
      <c r="H43" s="46"/>
      <c r="I43" s="46"/>
      <c r="J43" s="47" t="str">
        <f t="shared" si="0"/>
        <v/>
      </c>
      <c r="K43" s="46" t="str">
        <f t="shared" si="4"/>
        <v/>
      </c>
      <c r="L43" s="46" t="str">
        <f t="shared" si="7"/>
        <v/>
      </c>
      <c r="M43" s="48"/>
      <c r="N43" s="46" t="str">
        <f t="shared" si="5"/>
        <v/>
      </c>
      <c r="O43" s="48"/>
      <c r="P43" s="46" t="str">
        <f t="shared" si="6"/>
        <v/>
      </c>
      <c r="Q43" s="45"/>
      <c r="R43" s="45"/>
      <c r="S43" s="45"/>
      <c r="T43" s="45"/>
    </row>
    <row r="44" spans="1:20" ht="16.5" customHeight="1" x14ac:dyDescent="0.25">
      <c r="A44" s="49"/>
      <c r="B44" s="49"/>
      <c r="C44" s="6"/>
      <c r="D44" s="6"/>
      <c r="E44" s="49"/>
      <c r="F44" s="49"/>
      <c r="G44" s="49"/>
      <c r="H44" s="50"/>
      <c r="I44" s="50"/>
      <c r="J44" s="51" t="str">
        <f t="shared" si="0"/>
        <v/>
      </c>
      <c r="K44" s="50" t="str">
        <f t="shared" si="4"/>
        <v/>
      </c>
      <c r="L44" s="50" t="str">
        <f t="shared" si="7"/>
        <v/>
      </c>
      <c r="M44" s="52"/>
      <c r="N44" s="50" t="str">
        <f t="shared" si="5"/>
        <v/>
      </c>
      <c r="O44" s="52"/>
      <c r="P44" s="50" t="str">
        <f t="shared" si="6"/>
        <v/>
      </c>
      <c r="Q44" s="49"/>
      <c r="R44" s="49"/>
      <c r="S44" s="49"/>
      <c r="T44" s="49"/>
    </row>
    <row r="45" spans="1:20" ht="16.5" customHeight="1" x14ac:dyDescent="0.25">
      <c r="A45" s="45"/>
      <c r="B45" s="45"/>
      <c r="C45" s="7"/>
      <c r="D45" s="7"/>
      <c r="E45" s="45"/>
      <c r="F45" s="45"/>
      <c r="G45" s="45"/>
      <c r="H45" s="46"/>
      <c r="I45" s="46"/>
      <c r="J45" s="47" t="str">
        <f t="shared" si="0"/>
        <v/>
      </c>
      <c r="K45" s="46" t="str">
        <f t="shared" si="4"/>
        <v/>
      </c>
      <c r="L45" s="46" t="str">
        <f t="shared" si="7"/>
        <v/>
      </c>
      <c r="M45" s="48"/>
      <c r="N45" s="46" t="str">
        <f t="shared" si="5"/>
        <v/>
      </c>
      <c r="O45" s="48"/>
      <c r="P45" s="46" t="str">
        <f t="shared" si="6"/>
        <v/>
      </c>
      <c r="Q45" s="45"/>
      <c r="R45" s="45"/>
      <c r="S45" s="45"/>
      <c r="T45" s="45"/>
    </row>
    <row r="46" spans="1:20" ht="16.5" customHeight="1" x14ac:dyDescent="0.25">
      <c r="A46" s="53"/>
      <c r="B46" s="53"/>
      <c r="C46" s="5"/>
      <c r="D46" s="5"/>
      <c r="E46" s="53"/>
      <c r="F46" s="53"/>
      <c r="G46" s="53"/>
      <c r="H46" s="54"/>
      <c r="I46" s="54"/>
      <c r="J46" s="55" t="str">
        <f t="shared" si="0"/>
        <v/>
      </c>
      <c r="K46" s="54" t="str">
        <f t="shared" si="4"/>
        <v/>
      </c>
      <c r="L46" s="54" t="str">
        <f t="shared" si="7"/>
        <v/>
      </c>
      <c r="M46" s="56"/>
      <c r="N46" s="54" t="str">
        <f t="shared" si="5"/>
        <v/>
      </c>
      <c r="O46" s="56"/>
      <c r="P46" s="54" t="str">
        <f t="shared" si="6"/>
        <v/>
      </c>
      <c r="Q46" s="53"/>
      <c r="R46" s="53"/>
      <c r="S46" s="53"/>
      <c r="T46" s="53"/>
    </row>
    <row r="48" spans="1:20" ht="24" customHeight="1" x14ac:dyDescent="0.25">
      <c r="A48" s="4" t="s">
        <v>179</v>
      </c>
      <c r="B48" s="4"/>
      <c r="C48" s="4"/>
      <c r="D48" s="4"/>
      <c r="E48" s="4"/>
      <c r="F48" s="4"/>
      <c r="G48" s="4"/>
      <c r="H48" s="4"/>
      <c r="I48" s="57" t="s">
        <v>180</v>
      </c>
      <c r="J48" s="58">
        <f>IFERROR(ROUND(AVERAGE(I12:I36),2),"")</f>
        <v>89.9</v>
      </c>
      <c r="K48" s="57" t="s">
        <v>181</v>
      </c>
      <c r="L48" s="59">
        <f>IFERROR(ROUND(AVERAGE(J12:J36),4),"")</f>
        <v>0.5343</v>
      </c>
      <c r="M48" s="60" t="s">
        <v>182</v>
      </c>
      <c r="N48" s="61">
        <f>COUNTA(B12:B36)</f>
        <v>25</v>
      </c>
      <c r="O48" s="62" t="s">
        <v>183</v>
      </c>
      <c r="P48" s="63">
        <f>COUNTIF(R12:R36,"Bestseller")</f>
        <v>7</v>
      </c>
      <c r="Q48" s="64" t="s">
        <v>184</v>
      </c>
      <c r="R48" s="65">
        <f>COUNTIF(R12:R36,"Neuheit")</f>
        <v>4</v>
      </c>
    </row>
    <row r="49" spans="1:9" ht="18" customHeight="1" x14ac:dyDescent="0.25">
      <c r="A49" s="3" t="s">
        <v>185</v>
      </c>
      <c r="B49" s="3"/>
      <c r="C49" s="3"/>
      <c r="D49" s="3"/>
      <c r="E49" s="3"/>
      <c r="F49" s="3"/>
      <c r="G49" s="3"/>
      <c r="H49" s="3"/>
      <c r="I49" s="66">
        <f>COUNTIF(J12:J36,"&lt;0.2")</f>
        <v>0</v>
      </c>
    </row>
  </sheetData>
  <mergeCells count="57">
    <mergeCell ref="A48:H48"/>
    <mergeCell ref="A49:H49"/>
    <mergeCell ref="C42:D42"/>
    <mergeCell ref="C43:D43"/>
    <mergeCell ref="C44:D44"/>
    <mergeCell ref="C45:D45"/>
    <mergeCell ref="C46:D46"/>
    <mergeCell ref="C37:D37"/>
    <mergeCell ref="C38:D38"/>
    <mergeCell ref="C39:D39"/>
    <mergeCell ref="C40:D40"/>
    <mergeCell ref="C41:D41"/>
    <mergeCell ref="C32:D32"/>
    <mergeCell ref="C33:D33"/>
    <mergeCell ref="C34:D34"/>
    <mergeCell ref="C35:D35"/>
    <mergeCell ref="C36:D36"/>
    <mergeCell ref="C27:D27"/>
    <mergeCell ref="C28:D28"/>
    <mergeCell ref="C29:D29"/>
    <mergeCell ref="C30:D30"/>
    <mergeCell ref="C31:D31"/>
    <mergeCell ref="C22:D22"/>
    <mergeCell ref="C23:D23"/>
    <mergeCell ref="C24:D24"/>
    <mergeCell ref="C25:D25"/>
    <mergeCell ref="C26:D26"/>
    <mergeCell ref="C17:D17"/>
    <mergeCell ref="C18:D18"/>
    <mergeCell ref="C19:D19"/>
    <mergeCell ref="C20:D20"/>
    <mergeCell ref="C21:D21"/>
    <mergeCell ref="C12:D12"/>
    <mergeCell ref="C13:D13"/>
    <mergeCell ref="C14:D14"/>
    <mergeCell ref="C15:D15"/>
    <mergeCell ref="C16:D16"/>
    <mergeCell ref="B7:D7"/>
    <mergeCell ref="F7:H7"/>
    <mergeCell ref="J7:L7"/>
    <mergeCell ref="N7:R7"/>
    <mergeCell ref="C11:D11"/>
    <mergeCell ref="B5:D5"/>
    <mergeCell ref="F5:H5"/>
    <mergeCell ref="J5:L5"/>
    <mergeCell ref="N5:R5"/>
    <mergeCell ref="B6:D6"/>
    <mergeCell ref="F6:H6"/>
    <mergeCell ref="J6:L6"/>
    <mergeCell ref="N6:R6"/>
    <mergeCell ref="A1:T1"/>
    <mergeCell ref="A2:L2"/>
    <mergeCell ref="M2:T2"/>
    <mergeCell ref="B4:D4"/>
    <mergeCell ref="F4:H4"/>
    <mergeCell ref="J4:L4"/>
    <mergeCell ref="N4:R4"/>
  </mergeCells>
  <dataValidations count="3">
    <dataValidation type="list" allowBlank="1" sqref="R12:R46" xr:uid="{00000000-0002-0000-0000-000000000000}">
      <formula1>"Standard,Bestseller,Neuheit,Auslauf"</formula1>
      <formula2>0</formula2>
    </dataValidation>
    <dataValidation type="list" allowBlank="1" sqref="G12:G46" xr:uid="{00000000-0002-0000-0000-000001000000}">
      <formula1>"Stk.,Karton,Pack,Rolle,Lizenz,Std.,Einheit,Schachtel,Palette,Set"</formula1>
      <formula2>0</formula2>
    </dataValidation>
    <dataValidation type="list" allowBlank="1" sqref="E12:E46" xr:uid="{00000000-0002-0000-0000-000002000000}">
      <formula1>"Elektronik &amp; Zubehör,Büro &amp; Arbeitsmittel,Verbrauchsmaterial,Software &amp; Lizenzen,Beratung &amp; Service,Verpackung &amp; Versand,Sonstiges"</formula1>
      <formula2>0</formula2>
    </dataValidation>
  </dataValidations>
  <pageMargins left="0.75" right="0.75" top="1" bottom="1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zoomScaleNormal="100" workbookViewId="0"/>
  </sheetViews>
  <sheetFormatPr baseColWidth="10" defaultColWidth="8.7109375" defaultRowHeight="15" x14ac:dyDescent="0.25"/>
  <cols>
    <col min="1" max="1" width="26" customWidth="1"/>
    <col min="2" max="5" width="14" customWidth="1"/>
    <col min="6" max="6" width="12" customWidth="1"/>
    <col min="7" max="10" width="4" customWidth="1"/>
  </cols>
  <sheetData>
    <row r="1" spans="1:12" ht="36" customHeight="1" x14ac:dyDescent="0.25">
      <c r="A1" s="2" t="s">
        <v>186</v>
      </c>
      <c r="B1" s="2"/>
      <c r="C1" s="2"/>
      <c r="D1" s="2"/>
      <c r="E1" s="2"/>
      <c r="F1" s="2"/>
      <c r="G1" s="2"/>
      <c r="H1" s="2"/>
      <c r="I1" s="2"/>
      <c r="J1" s="2"/>
    </row>
    <row r="2" spans="1:12" ht="18" customHeight="1" x14ac:dyDescent="0.25">
      <c r="A2" s="1" t="s">
        <v>187</v>
      </c>
      <c r="B2" s="1"/>
      <c r="C2" s="1"/>
      <c r="D2" s="1"/>
      <c r="E2" s="1"/>
      <c r="F2" s="1"/>
      <c r="G2" s="1"/>
      <c r="H2" s="1"/>
      <c r="I2" s="1"/>
      <c r="J2" s="1"/>
    </row>
    <row r="3" spans="1:12" ht="9.75" customHeight="1" x14ac:dyDescent="0.25"/>
    <row r="4" spans="1:12" ht="15.75" customHeight="1" x14ac:dyDescent="0.25">
      <c r="A4" s="78" t="s">
        <v>188</v>
      </c>
      <c r="B4" s="78"/>
      <c r="C4" s="78"/>
      <c r="D4" s="79" t="s">
        <v>189</v>
      </c>
      <c r="E4" s="79"/>
      <c r="F4" s="79"/>
      <c r="G4" s="80" t="s">
        <v>190</v>
      </c>
      <c r="H4" s="80"/>
      <c r="I4" s="80"/>
      <c r="J4" s="81" t="s">
        <v>191</v>
      </c>
      <c r="K4" s="81"/>
      <c r="L4" s="81"/>
    </row>
    <row r="5" spans="1:12" ht="21.75" customHeight="1" x14ac:dyDescent="0.25">
      <c r="A5" s="82">
        <f>COUNTA(Preisliste!B12:B36)</f>
        <v>25</v>
      </c>
      <c r="B5" s="82"/>
      <c r="C5" s="82"/>
      <c r="D5" s="83">
        <f>SUMPRODUCT(1/COUNTIF(Preisliste!E12:E36,Preisliste!E12:E36))</f>
        <v>6.0000000000000009</v>
      </c>
      <c r="E5" s="83"/>
      <c r="F5" s="83"/>
      <c r="G5" s="84">
        <f>ROUND(AVERAGE(Preisliste!J12:J36),4)</f>
        <v>0.5343</v>
      </c>
      <c r="H5" s="84"/>
      <c r="I5" s="84"/>
      <c r="J5" s="85">
        <f>COUNTIF(Preisliste!J12:J36,"&lt;0.2")</f>
        <v>0</v>
      </c>
      <c r="K5" s="85"/>
      <c r="L5" s="85"/>
    </row>
    <row r="6" spans="1:12" ht="15.75" customHeight="1" x14ac:dyDescent="0.25">
      <c r="A6" s="86"/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</row>
    <row r="7" spans="1:12" ht="9.75" customHeight="1" x14ac:dyDescent="0.25"/>
    <row r="8" spans="1:12" x14ac:dyDescent="0.25">
      <c r="A8" s="87" t="s">
        <v>192</v>
      </c>
      <c r="B8" s="87"/>
      <c r="C8" s="87"/>
      <c r="D8" s="87"/>
      <c r="E8" s="87"/>
      <c r="F8" s="87"/>
    </row>
    <row r="9" spans="1:12" ht="18" customHeight="1" x14ac:dyDescent="0.25">
      <c r="A9" s="67" t="s">
        <v>45</v>
      </c>
      <c r="B9" s="67" t="s">
        <v>193</v>
      </c>
      <c r="C9" s="67" t="s">
        <v>194</v>
      </c>
      <c r="D9" s="67" t="s">
        <v>195</v>
      </c>
      <c r="E9" s="67" t="s">
        <v>196</v>
      </c>
      <c r="F9" s="67" t="s">
        <v>197</v>
      </c>
    </row>
    <row r="10" spans="1:12" ht="18" customHeight="1" x14ac:dyDescent="0.25">
      <c r="A10" s="68" t="s">
        <v>63</v>
      </c>
      <c r="B10" s="29">
        <f>COUNTIF(Preisliste!E12:E36,"Elektronik &amp; Zubehör")</f>
        <v>4</v>
      </c>
      <c r="C10" s="69">
        <f>IFERROR(SUMIF(Preisliste!E12:E36,"Elektronik &amp; Zubehör",Preisliste!H12:H36)/COUNTIF(Preisliste!E12:E36,"Elektronik &amp; Zubehör"),"")</f>
        <v>14.299999999999999</v>
      </c>
      <c r="D10" s="69">
        <f>IFERROR(SUMIF(Preisliste!E12:E36,"Elektronik &amp; Zubehör",Preisliste!I12:I36)/COUNTIF(Preisliste!E12:E36,"Elektronik &amp; Zubehör"),"")</f>
        <v>29.425000000000001</v>
      </c>
      <c r="E10" s="70">
        <f>IFERROR(SUMPRODUCT((Preisliste!E12:E36="Elektronik &amp; Zubehör")*Preisliste!J12:J36)/COUNTIF(Preisliste!E12:E36,"Elektronik &amp; Zubehör"),"")</f>
        <v>0.53222500000000006</v>
      </c>
      <c r="F10" s="29">
        <f>SUMPRODUCT((Preisliste!E12:E36="Elektronik &amp; Zubehör")*(Preisliste!J12:J36&lt;0.2))</f>
        <v>0</v>
      </c>
    </row>
    <row r="11" spans="1:12" ht="18" customHeight="1" x14ac:dyDescent="0.25">
      <c r="A11" s="71" t="s">
        <v>85</v>
      </c>
      <c r="B11" s="39">
        <f>COUNTIF(Preisliste!E12:E36,"Büro &amp; Arbeitsmittel")</f>
        <v>4</v>
      </c>
      <c r="C11" s="72">
        <f>IFERROR(SUMIF(Preisliste!E12:E36,"Büro &amp; Arbeitsmittel",Preisliste!H12:H36)/COUNTIF(Preisliste!E12:E36,"Büro &amp; Arbeitsmittel"),"")</f>
        <v>83.25</v>
      </c>
      <c r="D11" s="72">
        <f>IFERROR(SUMIF(Preisliste!E12:E36,"Büro &amp; Arbeitsmittel",Preisliste!I12:I36)/COUNTIF(Preisliste!E12:E36,"Büro &amp; Arbeitsmittel"),"")</f>
        <v>169</v>
      </c>
      <c r="E11" s="73">
        <f>IFERROR(SUMPRODUCT((Preisliste!E12:E36="Büro &amp; Arbeitsmittel")*Preisliste!J12:J36)/COUNTIF(Preisliste!E12:E36,"Büro &amp; Arbeitsmittel"),"")</f>
        <v>0.50907500000000006</v>
      </c>
      <c r="F11" s="39">
        <f>SUMPRODUCT((Preisliste!E12:E36="Büro &amp; Arbeitsmittel")*(Preisliste!J12:J36&lt;0.2))</f>
        <v>0</v>
      </c>
    </row>
    <row r="12" spans="1:12" ht="18" customHeight="1" x14ac:dyDescent="0.25">
      <c r="A12" s="68" t="s">
        <v>103</v>
      </c>
      <c r="B12" s="29">
        <f>COUNTIF(Preisliste!E12:E36,"Verbrauchsmaterial")</f>
        <v>5</v>
      </c>
      <c r="C12" s="69">
        <f>IFERROR(SUMIF(Preisliste!E12:E36,"Verbrauchsmaterial",Preisliste!H12:H36)/COUNTIF(Preisliste!E12:E36,"Verbrauchsmaterial"),"")</f>
        <v>5.36</v>
      </c>
      <c r="D12" s="69">
        <f>IFERROR(SUMIF(Preisliste!E12:E36,"Verbrauchsmaterial",Preisliste!I12:I36)/COUNTIF(Preisliste!E12:E36,"Verbrauchsmaterial"),"")</f>
        <v>11.219999999999999</v>
      </c>
      <c r="E12" s="70">
        <f>IFERROR(SUMPRODUCT((Preisliste!E12:E36="Verbrauchsmaterial")*Preisliste!J12:J36)/COUNTIF(Preisliste!E12:E36,"Verbrauchsmaterial"),"")</f>
        <v>0.53468000000000004</v>
      </c>
      <c r="F12" s="29">
        <f>SUMPRODUCT((Preisliste!E12:E36="Verbrauchsmaterial")*(Preisliste!J12:J36&lt;0.2))</f>
        <v>0</v>
      </c>
    </row>
    <row r="13" spans="1:12" ht="18" customHeight="1" x14ac:dyDescent="0.25">
      <c r="A13" s="71" t="s">
        <v>124</v>
      </c>
      <c r="B13" s="39">
        <f>COUNTIF(Preisliste!E12:E36,"Software &amp; Lizenzen")</f>
        <v>4</v>
      </c>
      <c r="C13" s="72">
        <f>IFERROR(SUMIF(Preisliste!E12:E36,"Software &amp; Lizenzen",Preisliste!H12:H36)/COUNTIF(Preisliste!E12:E36,"Software &amp; Lizenzen"),"")</f>
        <v>30.75</v>
      </c>
      <c r="D13" s="72">
        <f>IFERROR(SUMIF(Preisliste!E12:E36,"Software &amp; Lizenzen",Preisliste!I12:I36)/COUNTIF(Preisliste!E12:E36,"Software &amp; Lizenzen"),"")</f>
        <v>69.45</v>
      </c>
      <c r="E13" s="73">
        <f>IFERROR(SUMPRODUCT((Preisliste!E12:E36="Software &amp; Lizenzen")*Preisliste!J12:J36)/COUNTIF(Preisliste!E12:E36,"Software &amp; Lizenzen"),"")</f>
        <v>0.57099999999999995</v>
      </c>
      <c r="F13" s="39">
        <f>SUMPRODUCT((Preisliste!E12:E36="Software &amp; Lizenzen")*(Preisliste!J12:J36&lt;0.2))</f>
        <v>0</v>
      </c>
    </row>
    <row r="14" spans="1:12" ht="18" customHeight="1" x14ac:dyDescent="0.25">
      <c r="A14" s="68" t="s">
        <v>143</v>
      </c>
      <c r="B14" s="29">
        <f>COUNTIF(Preisliste!E12:E36,"Beratung &amp; Service")</f>
        <v>3</v>
      </c>
      <c r="C14" s="69">
        <f>IFERROR(SUMIF(Preisliste!E12:E36,"Beratung &amp; Service",Preisliste!H12:H36)/COUNTIF(Preisliste!E12:E36,"Beratung &amp; Service"),"")</f>
        <v>176.66666666666666</v>
      </c>
      <c r="D14" s="69">
        <f>IFERROR(SUMIF(Preisliste!E12:E36,"Beratung &amp; Service",Preisliste!I12:I36)/COUNTIF(Preisliste!E12:E36,"Beratung &amp; Service"),"")</f>
        <v>360</v>
      </c>
      <c r="E14" s="70">
        <f>IFERROR(SUMPRODUCT((Preisliste!E12:E36="Beratung &amp; Service")*Preisliste!J12:J36)/COUNTIF(Preisliste!E12:E36,"Beratung &amp; Service"),"")</f>
        <v>0.50573333333333326</v>
      </c>
      <c r="F14" s="29">
        <f>SUMPRODUCT((Preisliste!E12:E36="Beratung &amp; Service")*(Preisliste!J12:J36&lt;0.2))</f>
        <v>0</v>
      </c>
    </row>
    <row r="15" spans="1:12" ht="18" customHeight="1" x14ac:dyDescent="0.25">
      <c r="A15" s="71" t="s">
        <v>158</v>
      </c>
      <c r="B15" s="39">
        <f>COUNTIF(Preisliste!E12:E36,"Verpackung &amp; Versand")</f>
        <v>5</v>
      </c>
      <c r="C15" s="72">
        <f>IFERROR(SUMIF(Preisliste!E12:E36,"Verpackung &amp; Versand",Preisliste!H12:H36)/COUNTIF(Preisliste!E12:E36,"Verpackung &amp; Versand"),"")</f>
        <v>3.806</v>
      </c>
      <c r="D15" s="72">
        <f>IFERROR(SUMIF(Preisliste!E12:E36,"Verpackung &amp; Versand",Preisliste!I12:I36)/COUNTIF(Preisliste!E12:E36,"Verpackung &amp; Versand"),"")</f>
        <v>7.9759999999999991</v>
      </c>
      <c r="E15" s="73">
        <f>IFERROR(SUMPRODUCT((Preisliste!E12:E36="Verpackung &amp; Versand")*Preisliste!J12:J36)/COUNTIF(Preisliste!E12:E36,"Verpackung &amp; Versand"),"")</f>
        <v>0.54357999999999995</v>
      </c>
      <c r="F15" s="39">
        <f>SUMPRODUCT((Preisliste!E12:E36="Verpackung &amp; Versand")*(Preisliste!J12:J36&lt;0.2))</f>
        <v>0</v>
      </c>
    </row>
    <row r="17" spans="1:4" ht="9.75" customHeight="1" x14ac:dyDescent="0.25"/>
    <row r="18" spans="1:4" ht="19.5" customHeight="1" x14ac:dyDescent="0.25">
      <c r="A18" s="88" t="s">
        <v>198</v>
      </c>
      <c r="B18" s="88"/>
      <c r="C18" s="88"/>
      <c r="D18" s="88"/>
    </row>
    <row r="19" spans="1:4" ht="18" customHeight="1" x14ac:dyDescent="0.25">
      <c r="A19" s="67" t="s">
        <v>199</v>
      </c>
      <c r="B19" s="67" t="s">
        <v>200</v>
      </c>
      <c r="C19" s="67" t="s">
        <v>201</v>
      </c>
      <c r="D19" s="67" t="s">
        <v>196</v>
      </c>
    </row>
    <row r="20" spans="1:4" ht="18" customHeight="1" x14ac:dyDescent="0.25">
      <c r="A20" s="74" t="s">
        <v>78</v>
      </c>
      <c r="B20" s="29">
        <f>COUNTIF(Preisliste!R12:R36,"Standard")</f>
        <v>13</v>
      </c>
      <c r="C20" s="69">
        <f>IFERROR(SUMIF(Preisliste!R12:R36,"Standard",Preisliste!I12:I36)/COUNTIF(Preisliste!R12:R36,"Standard"),"")</f>
        <v>90.045384615384606</v>
      </c>
      <c r="D20" s="70">
        <f>IFERROR(SUMPRODUCT((Preisliste!R12:R36="Standard")*Preisliste!J12:J36)/COUNTIF(Preisliste!R12:R36,"Standard"),"")</f>
        <v>0.5312230769230768</v>
      </c>
    </row>
    <row r="21" spans="1:4" ht="18" customHeight="1" x14ac:dyDescent="0.25">
      <c r="A21" s="75" t="s">
        <v>66</v>
      </c>
      <c r="B21" s="39">
        <f>COUNTIF(Preisliste!R12:R36,"Bestseller")</f>
        <v>7</v>
      </c>
      <c r="C21" s="72">
        <f>IFERROR(SUMIF(Preisliste!R12:R36,"Bestseller",Preisliste!I12:I36)/COUNTIF(Preisliste!R12:R36,"Bestseller"),"")</f>
        <v>113.35714285714286</v>
      </c>
      <c r="D21" s="73">
        <f>IFERROR(SUMPRODUCT((Preisliste!R12:R36="Bestseller")*Preisliste!J12:J36)/COUNTIF(Preisliste!R12:R36,"Bestseller"),"")</f>
        <v>0.53262857142857134</v>
      </c>
    </row>
    <row r="22" spans="1:4" ht="18" customHeight="1" x14ac:dyDescent="0.25">
      <c r="A22" s="76" t="s">
        <v>72</v>
      </c>
      <c r="B22" s="29">
        <f>COUNTIF(Preisliste!R12:R36,"Neuheit")</f>
        <v>4</v>
      </c>
      <c r="C22" s="69">
        <f>IFERROR(SUMIF(Preisliste!R12:R36,"Neuheit",Preisliste!I12:I36)/COUNTIF(Preisliste!R12:R36,"Neuheit"),"")</f>
        <v>67.372500000000002</v>
      </c>
      <c r="D22" s="70">
        <f>IFERROR(SUMPRODUCT((Preisliste!R12:R36="Neuheit")*Preisliste!J12:J36)/COUNTIF(Preisliste!R12:R36,"Neuheit"),"")</f>
        <v>0.54594999999999994</v>
      </c>
    </row>
    <row r="23" spans="1:4" ht="18" customHeight="1" x14ac:dyDescent="0.25">
      <c r="A23" s="77" t="s">
        <v>172</v>
      </c>
      <c r="B23" s="39">
        <f>COUNTIF(Preisliste!R12:R36,"Auslauf")</f>
        <v>1</v>
      </c>
      <c r="C23" s="72">
        <f>IFERROR(SUMIF(Preisliste!R12:R36,"Auslauf",Preisliste!I12:I36)/COUNTIF(Preisliste!R12:R36,"Auslauf"),"")</f>
        <v>13.9</v>
      </c>
      <c r="D23" s="73">
        <f>IFERROR(SUMPRODUCT((Preisliste!R12:R36="Auslauf")*Preisliste!J12:J36)/COUNTIF(Preisliste!R12:R36,"Auslauf"),"")</f>
        <v>0.53959999999999997</v>
      </c>
    </row>
  </sheetData>
  <mergeCells count="16">
    <mergeCell ref="A8:F8"/>
    <mergeCell ref="A18:D18"/>
    <mergeCell ref="A5:C5"/>
    <mergeCell ref="D5:F5"/>
    <mergeCell ref="G5:I5"/>
    <mergeCell ref="J5:L5"/>
    <mergeCell ref="A6:C6"/>
    <mergeCell ref="D6:F6"/>
    <mergeCell ref="G6:I6"/>
    <mergeCell ref="J6:L6"/>
    <mergeCell ref="A1:J1"/>
    <mergeCell ref="A2:J2"/>
    <mergeCell ref="A4:C4"/>
    <mergeCell ref="D4:F4"/>
    <mergeCell ref="G4:I4"/>
    <mergeCell ref="J4:L4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zoomScaleNormal="100" workbookViewId="0"/>
  </sheetViews>
  <sheetFormatPr baseColWidth="10" defaultColWidth="8.7109375" defaultRowHeight="15" x14ac:dyDescent="0.25"/>
  <cols>
    <col min="1" max="1" width="100" customWidth="1"/>
  </cols>
  <sheetData>
    <row r="1" spans="1:6" ht="31.5" customHeight="1" x14ac:dyDescent="0.25">
      <c r="A1" s="89" t="s">
        <v>202</v>
      </c>
      <c r="B1" s="89"/>
      <c r="C1" s="89"/>
      <c r="D1" s="89"/>
      <c r="E1" s="89"/>
      <c r="F1" s="89"/>
    </row>
    <row r="3" spans="1:6" ht="19.5" customHeight="1" x14ac:dyDescent="0.25">
      <c r="A3" s="90" t="s">
        <v>203</v>
      </c>
      <c r="B3" s="90"/>
      <c r="C3" s="90"/>
      <c r="D3" s="90"/>
      <c r="E3" s="90"/>
      <c r="F3" s="90"/>
    </row>
    <row r="4" spans="1:6" ht="39.75" customHeight="1" x14ac:dyDescent="0.25">
      <c r="A4" s="91" t="s">
        <v>204</v>
      </c>
      <c r="B4" s="91"/>
      <c r="C4" s="91"/>
      <c r="D4" s="91"/>
      <c r="E4" s="91"/>
      <c r="F4" s="91"/>
    </row>
    <row r="5" spans="1:6" ht="19.5" customHeight="1" x14ac:dyDescent="0.25">
      <c r="A5" s="92" t="s">
        <v>205</v>
      </c>
      <c r="B5" s="92"/>
      <c r="C5" s="92"/>
      <c r="D5" s="92"/>
      <c r="E5" s="92"/>
      <c r="F5" s="92"/>
    </row>
    <row r="6" spans="1:6" ht="39.75" customHeight="1" x14ac:dyDescent="0.25">
      <c r="A6" s="91" t="s">
        <v>206</v>
      </c>
      <c r="B6" s="91"/>
      <c r="C6" s="91"/>
      <c r="D6" s="91"/>
      <c r="E6" s="91"/>
      <c r="F6" s="91"/>
    </row>
    <row r="7" spans="1:6" ht="19.5" customHeight="1" x14ac:dyDescent="0.25">
      <c r="A7" s="93" t="s">
        <v>207</v>
      </c>
      <c r="B7" s="93"/>
      <c r="C7" s="93"/>
      <c r="D7" s="93"/>
      <c r="E7" s="93"/>
      <c r="F7" s="93"/>
    </row>
    <row r="8" spans="1:6" ht="39.75" customHeight="1" x14ac:dyDescent="0.25">
      <c r="A8" s="91" t="s">
        <v>208</v>
      </c>
      <c r="B8" s="91"/>
      <c r="C8" s="91"/>
      <c r="D8" s="91"/>
      <c r="E8" s="91"/>
      <c r="F8" s="91"/>
    </row>
    <row r="9" spans="1:6" ht="19.5" customHeight="1" x14ac:dyDescent="0.25">
      <c r="A9" s="94" t="s">
        <v>209</v>
      </c>
      <c r="B9" s="94"/>
      <c r="C9" s="94"/>
      <c r="D9" s="94"/>
      <c r="E9" s="94"/>
      <c r="F9" s="94"/>
    </row>
    <row r="10" spans="1:6" ht="39.75" customHeight="1" x14ac:dyDescent="0.25">
      <c r="A10" s="91" t="s">
        <v>210</v>
      </c>
      <c r="B10" s="91"/>
      <c r="C10" s="91"/>
      <c r="D10" s="91"/>
      <c r="E10" s="91"/>
      <c r="F10" s="91"/>
    </row>
    <row r="11" spans="1:6" ht="19.5" customHeight="1" x14ac:dyDescent="0.25">
      <c r="A11" s="95" t="s">
        <v>211</v>
      </c>
      <c r="B11" s="95"/>
      <c r="C11" s="95"/>
      <c r="D11" s="95"/>
      <c r="E11" s="95"/>
      <c r="F11" s="95"/>
    </row>
    <row r="12" spans="1:6" ht="39.75" customHeight="1" x14ac:dyDescent="0.25">
      <c r="A12" s="91" t="s">
        <v>212</v>
      </c>
      <c r="B12" s="91"/>
      <c r="C12" s="91"/>
      <c r="D12" s="91"/>
      <c r="E12" s="91"/>
      <c r="F12" s="91"/>
    </row>
    <row r="13" spans="1:6" ht="19.5" customHeight="1" x14ac:dyDescent="0.25">
      <c r="A13" s="90" t="s">
        <v>213</v>
      </c>
      <c r="B13" s="90"/>
      <c r="C13" s="90"/>
      <c r="D13" s="90"/>
      <c r="E13" s="90"/>
      <c r="F13" s="90"/>
    </row>
    <row r="14" spans="1:6" ht="39.75" customHeight="1" x14ac:dyDescent="0.25">
      <c r="A14" s="91" t="s">
        <v>214</v>
      </c>
      <c r="B14" s="91"/>
      <c r="C14" s="91"/>
      <c r="D14" s="91"/>
      <c r="E14" s="91"/>
      <c r="F14" s="91"/>
    </row>
    <row r="15" spans="1:6" ht="19.5" customHeight="1" x14ac:dyDescent="0.25">
      <c r="A15" s="93" t="s">
        <v>215</v>
      </c>
      <c r="B15" s="93"/>
      <c r="C15" s="93"/>
      <c r="D15" s="93"/>
      <c r="E15" s="93"/>
      <c r="F15" s="93"/>
    </row>
    <row r="16" spans="1:6" ht="39.75" customHeight="1" x14ac:dyDescent="0.25">
      <c r="A16" s="91" t="s">
        <v>216</v>
      </c>
      <c r="B16" s="91"/>
      <c r="C16" s="91"/>
      <c r="D16" s="91"/>
      <c r="E16" s="91"/>
      <c r="F16" s="91"/>
    </row>
    <row r="17" spans="1:6" ht="19.5" customHeight="1" x14ac:dyDescent="0.25">
      <c r="A17" s="92" t="s">
        <v>217</v>
      </c>
      <c r="B17" s="92"/>
      <c r="C17" s="92"/>
      <c r="D17" s="92"/>
      <c r="E17" s="92"/>
      <c r="F17" s="92"/>
    </row>
    <row r="18" spans="1:6" ht="39.75" customHeight="1" x14ac:dyDescent="0.25">
      <c r="A18" s="91" t="s">
        <v>218</v>
      </c>
      <c r="B18" s="91"/>
      <c r="C18" s="91"/>
      <c r="D18" s="91"/>
      <c r="E18" s="91"/>
      <c r="F18" s="91"/>
    </row>
  </sheetData>
  <mergeCells count="17">
    <mergeCell ref="A17:F17"/>
    <mergeCell ref="A18:F18"/>
    <mergeCell ref="A12:F12"/>
    <mergeCell ref="A13:F13"/>
    <mergeCell ref="A14:F14"/>
    <mergeCell ref="A15:F15"/>
    <mergeCell ref="A16:F16"/>
    <mergeCell ref="A7:F7"/>
    <mergeCell ref="A8:F8"/>
    <mergeCell ref="A9:F9"/>
    <mergeCell ref="A10:F10"/>
    <mergeCell ref="A11:F11"/>
    <mergeCell ref="A1:F1"/>
    <mergeCell ref="A3:F3"/>
    <mergeCell ref="A4:F4"/>
    <mergeCell ref="A5:F5"/>
    <mergeCell ref="A6:F6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Preisliste</vt:lpstr>
      <vt:lpstr>Auswertung</vt:lpstr>
      <vt:lpstr>Anleitung</vt:lpstr>
      <vt:lpstr>Preisliste!Druckbereich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0</cp:revision>
  <dcterms:created xsi:type="dcterms:W3CDTF">2026-08-04T17:58:39Z</dcterms:created>
  <dcterms:modified xsi:type="dcterms:W3CDTF">2026-08-05T09:14:52Z</dcterms:modified>
  <dc:language>en-US</dc:language>
</cp:coreProperties>
</file>