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E3FFC95E-8E7D-4136-AEE2-888C4171405D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Zeitnachweis" sheetId="1" r:id="rId1"/>
  </sheets>
  <definedNames>
    <definedName name="_xlnm.Print_Area" localSheetId="0">Zeitnachweis!$A$1:$J$53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7" i="1" l="1"/>
  <c r="G46" i="1"/>
  <c r="C46" i="1"/>
  <c r="G45" i="1"/>
  <c r="G44" i="1"/>
  <c r="G43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I19" i="1" l="1"/>
  <c r="I39" i="1"/>
  <c r="I27" i="1"/>
  <c r="I30" i="1"/>
  <c r="B11" i="1"/>
  <c r="B15" i="1"/>
  <c r="B19" i="1"/>
  <c r="B23" i="1"/>
  <c r="B27" i="1"/>
  <c r="B31" i="1"/>
  <c r="B35" i="1"/>
  <c r="B39" i="1"/>
  <c r="G11" i="1"/>
  <c r="I11" i="1" s="1"/>
  <c r="G15" i="1"/>
  <c r="I15" i="1" s="1"/>
  <c r="G19" i="1"/>
  <c r="G23" i="1"/>
  <c r="G27" i="1"/>
  <c r="G31" i="1"/>
  <c r="I31" i="1" s="1"/>
  <c r="G35" i="1"/>
  <c r="G39" i="1"/>
  <c r="H39" i="1"/>
  <c r="H11" i="1"/>
  <c r="H15" i="1"/>
  <c r="H19" i="1"/>
  <c r="H23" i="1"/>
  <c r="I23" i="1" s="1"/>
  <c r="H27" i="1"/>
  <c r="H31" i="1"/>
  <c r="H35" i="1"/>
  <c r="I35" i="1" s="1"/>
  <c r="B40" i="1"/>
  <c r="G40" i="1"/>
  <c r="I40" i="1" s="1"/>
  <c r="B24" i="1"/>
  <c r="B36" i="1"/>
  <c r="G20" i="1"/>
  <c r="I20" i="1" s="1"/>
  <c r="G36" i="1"/>
  <c r="H16" i="1"/>
  <c r="H20" i="1"/>
  <c r="H24" i="1"/>
  <c r="H28" i="1"/>
  <c r="H36" i="1"/>
  <c r="I36" i="1" s="1"/>
  <c r="H40" i="1"/>
  <c r="B12" i="1"/>
  <c r="B16" i="1"/>
  <c r="B20" i="1"/>
  <c r="B28" i="1"/>
  <c r="B32" i="1"/>
  <c r="G12" i="1"/>
  <c r="I12" i="1" s="1"/>
  <c r="G16" i="1"/>
  <c r="I16" i="1" s="1"/>
  <c r="G24" i="1"/>
  <c r="I24" i="1" s="1"/>
  <c r="G28" i="1"/>
  <c r="I28" i="1" s="1"/>
  <c r="G32" i="1"/>
  <c r="I32" i="1" s="1"/>
  <c r="H12" i="1"/>
  <c r="H32" i="1"/>
  <c r="B13" i="1"/>
  <c r="B17" i="1"/>
  <c r="B21" i="1"/>
  <c r="B25" i="1"/>
  <c r="B29" i="1"/>
  <c r="B33" i="1"/>
  <c r="B37" i="1"/>
  <c r="G13" i="1"/>
  <c r="I13" i="1" s="1"/>
  <c r="G17" i="1"/>
  <c r="G21" i="1"/>
  <c r="I21" i="1" s="1"/>
  <c r="G25" i="1"/>
  <c r="G33" i="1"/>
  <c r="I33" i="1" s="1"/>
  <c r="G37" i="1"/>
  <c r="I37" i="1" s="1"/>
  <c r="H13" i="1"/>
  <c r="H17" i="1"/>
  <c r="I17" i="1" s="1"/>
  <c r="H21" i="1"/>
  <c r="H25" i="1"/>
  <c r="I25" i="1" s="1"/>
  <c r="H29" i="1"/>
  <c r="G29" i="1" s="1"/>
  <c r="I29" i="1" s="1"/>
  <c r="H33" i="1"/>
  <c r="H37" i="1"/>
  <c r="B14" i="1"/>
  <c r="B38" i="1"/>
  <c r="B10" i="1"/>
  <c r="B18" i="1"/>
  <c r="B22" i="1"/>
  <c r="B26" i="1"/>
  <c r="B30" i="1"/>
  <c r="B34" i="1"/>
  <c r="G14" i="1"/>
  <c r="I14" i="1" s="1"/>
  <c r="G22" i="1"/>
  <c r="G26" i="1"/>
  <c r="I26" i="1" s="1"/>
  <c r="G30" i="1"/>
  <c r="G34" i="1"/>
  <c r="I34" i="1" s="1"/>
  <c r="G38" i="1"/>
  <c r="I38" i="1" s="1"/>
  <c r="H10" i="1"/>
  <c r="H14" i="1"/>
  <c r="H18" i="1"/>
  <c r="G18" i="1" s="1"/>
  <c r="I18" i="1" s="1"/>
  <c r="H22" i="1"/>
  <c r="I22" i="1" s="1"/>
  <c r="H26" i="1"/>
  <c r="H30" i="1"/>
  <c r="H34" i="1"/>
  <c r="H38" i="1"/>
  <c r="C44" i="1" l="1"/>
  <c r="G10" i="1"/>
  <c r="C45" i="1" l="1"/>
  <c r="C47" i="1" s="1"/>
  <c r="C43" i="1"/>
  <c r="I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6" authorId="0" shapeId="0" xr:uid="{00000000-0006-0000-0000-000001000000}">
      <text>
        <r>
          <rPr>
            <sz val="10"/>
            <rFont val="Arial"/>
            <family val="2"/>
          </rPr>
          <t>Tägliche Sollarbeitszeit (Mo–Fr). Wird für die Soll-Berechnung aller Wochentage verwendet. Beispielwert: 8:00 Std.</t>
        </r>
      </text>
    </comment>
    <comment ref="G7" authorId="0" shapeId="0" xr:uid="{00000000-0006-0000-0000-000002000000}">
      <text>
        <r>
          <rPr>
            <sz val="10"/>
            <rFont val="Arial"/>
            <family val="2"/>
          </rPr>
          <t>Zeitsaldo aus dem Vormonat (Gleitzeitkonto), in Dezimalstunden. Positiv = Guthaben, negativ = Minus. Beispielwert: -1,25 Std.</t>
        </r>
      </text>
    </comment>
  </commentList>
</comments>
</file>

<file path=xl/sharedStrings.xml><?xml version="1.0" encoding="utf-8"?>
<sst xmlns="http://schemas.openxmlformats.org/spreadsheetml/2006/main" count="66" uniqueCount="60">
  <si>
    <t>Muster GmbH</t>
  </si>
  <si>
    <t>ARBEITSZEITNACHWEIS</t>
  </si>
  <si>
    <t>Januar</t>
  </si>
  <si>
    <t>Februar</t>
  </si>
  <si>
    <t>Mitarbeiter/in:</t>
  </si>
  <si>
    <t>Max Mustermann</t>
  </si>
  <si>
    <t>Monat:</t>
  </si>
  <si>
    <t>März</t>
  </si>
  <si>
    <t>Personalnummer:</t>
  </si>
  <si>
    <t>PN-10427</t>
  </si>
  <si>
    <t>Jahr:</t>
  </si>
  <si>
    <t>April</t>
  </si>
  <si>
    <t>Abteilung:</t>
  </si>
  <si>
    <t>Vertrieb / Innendienst</t>
  </si>
  <si>
    <t>Tägl. Sollzeit:</t>
  </si>
  <si>
    <t>Mai</t>
  </si>
  <si>
    <t>Standort:</t>
  </si>
  <si>
    <t>Berlin</t>
  </si>
  <si>
    <t>Übertrag Vormonat:</t>
  </si>
  <si>
    <t>Juni</t>
  </si>
  <si>
    <t>Juli</t>
  </si>
  <si>
    <t>Datum</t>
  </si>
  <si>
    <t>Tag</t>
  </si>
  <si>
    <t>Status</t>
  </si>
  <si>
    <t>Beginn</t>
  </si>
  <si>
    <t>Ende</t>
  </si>
  <si>
    <t>Pause
(Min.)</t>
  </si>
  <si>
    <t>Ist
(Std.)</t>
  </si>
  <si>
    <t>Soll
(Std.)</t>
  </si>
  <si>
    <t>Saldo
(Std.)</t>
  </si>
  <si>
    <t>Bemerkung</t>
  </si>
  <si>
    <t>August</t>
  </si>
  <si>
    <t>Feiertag</t>
  </si>
  <si>
    <t>Neujahr</t>
  </si>
  <si>
    <t>September</t>
  </si>
  <si>
    <t>Oktober</t>
  </si>
  <si>
    <t>November</t>
  </si>
  <si>
    <t>Dezember</t>
  </si>
  <si>
    <t>Urlaub</t>
  </si>
  <si>
    <t>Krankheit</t>
  </si>
  <si>
    <t>Projektabgabe</t>
  </si>
  <si>
    <t>Brückentag</t>
  </si>
  <si>
    <t>Arzttermin</t>
  </si>
  <si>
    <t>AU (Attest)</t>
  </si>
  <si>
    <t>Früher Feierabend</t>
  </si>
  <si>
    <t>Monatsauswertung</t>
  </si>
  <si>
    <t>Summe Ist:</t>
  </si>
  <si>
    <t>Erfasste Arbeitstage:</t>
  </si>
  <si>
    <t>Summe Soll:</t>
  </si>
  <si>
    <t>Urlaubstage:</t>
  </si>
  <si>
    <t>Monatssaldo:</t>
  </si>
  <si>
    <t>Kranktage:</t>
  </si>
  <si>
    <t>Feiertage:</t>
  </si>
  <si>
    <t>Gleitzeitsaldo gesamt:</t>
  </si>
  <si>
    <t>Summe Pausen:</t>
  </si>
  <si>
    <t>Legende:  Urlaub = bezahlter Urlaubstag  ·  Krankheit = Krankheitstag (AU)  ·  Feiertag = gesetzlicher Feiertag  ·  Wochenenden werden automatisch grau markiert.</t>
  </si>
  <si>
    <t>Hinweis:  Nur die creme­farbenen Felder ausfüllen (Kopfdaten, Status, Beginn, Ende, Pause, Bemerkung). Alle grauen Felder berechnen sich automatisch.</t>
  </si>
  <si>
    <t>Ort, Datum</t>
  </si>
  <si>
    <t>Unterschrift Mitarbeiter/in</t>
  </si>
  <si>
    <t>Unterschrift Vorgesetzte/r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</si>
</sst>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hh:mm"/>
    <numFmt numFmtId="165" formatCode="\+0.00&quot; Std.&quot;;\-0.00&quot; Std.&quot;;0.00&quot; Std.&quot;"/>
    <numFmt numFmtId="166" formatCode="dd\.mm\.yyyy"/>
    <numFmt numFmtId="167" formatCode="[h]:mm;;;"/>
    <numFmt numFmtId="168" formatCode="\+0.00;\-0.00;;"/>
    <numFmt numFmtId="169" formatCode="[h]:mm"/>
    <numFmt numFmtId="170" formatCode="0&quot; Min.&quot;"/>
  </numFmts>
  <fonts count="12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5"/>
      <color rgb="FFFFFFFF"/>
      <name val="Calibri"/>
      <charset val="1"/>
    </font>
    <font>
      <b/>
      <sz val="10"/>
      <color rgb="FF0E4B5A"/>
      <name val="Calibri"/>
      <charset val="1"/>
    </font>
    <font>
      <sz val="10"/>
      <color rgb="FF1D2B30"/>
      <name val="Calibri"/>
      <charset val="1"/>
    </font>
    <font>
      <b/>
      <sz val="10"/>
      <color rgb="FFFFFFFF"/>
      <name val="Calibri"/>
      <charset val="1"/>
    </font>
    <font>
      <b/>
      <sz val="11"/>
      <color rgb="FFFFFFFF"/>
      <name val="Calibri"/>
      <charset val="1"/>
    </font>
    <font>
      <sz val="10"/>
      <color rgb="FF0E4B5A"/>
      <name val="Calibri"/>
      <charset val="1"/>
    </font>
    <font>
      <b/>
      <sz val="10"/>
      <color rgb="FF1D2B30"/>
      <name val="Calibri"/>
      <charset val="1"/>
    </font>
    <font>
      <i/>
      <sz val="9"/>
      <color rgb="FF5A6A6E"/>
      <name val="Calibri"/>
      <charset val="1"/>
    </font>
    <font>
      <sz val="9"/>
      <color rgb="FF5A6A6E"/>
      <name val="Calibri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1A93E"/>
        <bgColor rgb="FFFFCC00"/>
      </patternFill>
    </fill>
    <fill>
      <patternFill patternType="solid">
        <fgColor rgb="FF0E4B5A"/>
        <bgColor rgb="FF12617A"/>
      </patternFill>
    </fill>
    <fill>
      <patternFill patternType="solid">
        <fgColor rgb="FFFFF8E7"/>
        <bgColor rgb="FFF2F5F6"/>
      </patternFill>
    </fill>
    <fill>
      <patternFill patternType="solid">
        <fgColor rgb="FFF2F5F6"/>
        <bgColor rgb="FFFFF8E7"/>
      </patternFill>
    </fill>
    <fill>
      <patternFill patternType="solid">
        <fgColor rgb="FF12617A"/>
        <bgColor rgb="FF0E4B5A"/>
      </patternFill>
    </fill>
  </fills>
  <borders count="5">
    <border>
      <left/>
      <right/>
      <top/>
      <bottom/>
      <diagonal/>
    </border>
    <border>
      <left style="thin">
        <color rgb="FFE1A93E"/>
      </left>
      <right style="thin">
        <color rgb="FFE1A93E"/>
      </right>
      <top style="thin">
        <color rgb="FFE1A93E"/>
      </top>
      <bottom style="thin">
        <color rgb="FFE1A93E"/>
      </bottom>
      <diagonal/>
    </border>
    <border>
      <left style="thin">
        <color rgb="FF0E4B5A"/>
      </left>
      <right style="thin">
        <color rgb="FF0E4B5A"/>
      </right>
      <top style="thin">
        <color rgb="FF0E4B5A"/>
      </top>
      <bottom style="thin">
        <color rgb="FF0E4B5A"/>
      </bottom>
      <diagonal/>
    </border>
    <border>
      <left style="thin">
        <color rgb="FFB9C6C9"/>
      </left>
      <right style="thin">
        <color rgb="FFB9C6C9"/>
      </right>
      <top style="thin">
        <color rgb="FFB9C6C9"/>
      </top>
      <bottom style="thin">
        <color rgb="FFB9C6C9"/>
      </bottom>
      <diagonal/>
    </border>
    <border>
      <left/>
      <right/>
      <top/>
      <bottom style="thin">
        <color rgb="FF1D2B3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6" fillId="6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right" vertical="center" indent="1"/>
    </xf>
    <xf numFmtId="0" fontId="1" fillId="3" borderId="0" xfId="0" applyFont="1" applyFill="1" applyAlignment="1">
      <alignment horizontal="left" vertical="center" indent="1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6" fontId="0" fillId="5" borderId="3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67" fontId="0" fillId="5" borderId="3" xfId="0" applyNumberFormat="1" applyFill="1" applyBorder="1" applyAlignment="1">
      <alignment horizontal="center" vertical="center"/>
    </xf>
    <xf numFmtId="168" fontId="0" fillId="5" borderId="3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 wrapText="1"/>
    </xf>
    <xf numFmtId="169" fontId="8" fillId="5" borderId="3" xfId="0" applyNumberFormat="1" applyFont="1" applyFill="1" applyBorder="1" applyAlignment="1">
      <alignment horizontal="center" vertical="center"/>
    </xf>
    <xf numFmtId="1" fontId="8" fillId="5" borderId="3" xfId="0" applyNumberFormat="1" applyFont="1" applyFill="1" applyBorder="1" applyAlignment="1">
      <alignment horizontal="center" vertical="center"/>
    </xf>
    <xf numFmtId="165" fontId="8" fillId="5" borderId="3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70" fontId="8" fillId="5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4" fillId="4" borderId="1" xfId="0" applyFont="1" applyFill="1" applyBorder="1" applyAlignment="1">
      <alignment vertical="center"/>
    </xf>
  </cellXfs>
  <cellStyles count="1">
    <cellStyle name="Standard" xfId="0" builtinId="0"/>
  </cellStyles>
  <dxfs count="4">
    <dxf>
      <fill>
        <patternFill>
          <bgColor rgb="FFDCE9F5"/>
        </patternFill>
      </fill>
    </dxf>
    <dxf>
      <fill>
        <patternFill>
          <bgColor rgb="FFF7E1DD"/>
        </patternFill>
      </fill>
    </dxf>
    <dxf>
      <fill>
        <patternFill>
          <bgColor rgb="FFE4F0DA"/>
        </patternFill>
      </fill>
    </dxf>
    <dxf>
      <fill>
        <patternFill>
          <bgColor rgb="FFDDE4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2617A"/>
      <rgbColor rgb="FFB9C6C9"/>
      <rgbColor rgb="FF808080"/>
      <rgbColor rgb="FF9999FF"/>
      <rgbColor rgb="FF993366"/>
      <rgbColor rgb="FFFFF8E7"/>
      <rgbColor rgb="FFDCE9F5"/>
      <rgbColor rgb="FF660066"/>
      <rgbColor rgb="FFFF8080"/>
      <rgbColor rgb="FF0066CC"/>
      <rgbColor rgb="FFDDE4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5F6"/>
      <rgbColor rgb="FFE4F0DA"/>
      <rgbColor rgb="FFFFFF99"/>
      <rgbColor rgb="FF99CCFF"/>
      <rgbColor rgb="FFFF99CC"/>
      <rgbColor rgb="FFCC99FF"/>
      <rgbColor rgb="FFF7E1DD"/>
      <rgbColor rgb="FF3366FF"/>
      <rgbColor rgb="FF33CCCC"/>
      <rgbColor rgb="FF99CC00"/>
      <rgbColor rgb="FFFFCC00"/>
      <rgbColor rgb="FFE1A93E"/>
      <rgbColor rgb="FFFF6600"/>
      <rgbColor rgb="FF5A6A6E"/>
      <rgbColor rgb="FF969696"/>
      <rgbColor rgb="FF0E4B5A"/>
      <rgbColor rgb="FF339966"/>
      <rgbColor rgb="FF003300"/>
      <rgbColor rgb="FF333300"/>
      <rgbColor rgb="FF993300"/>
      <rgbColor rgb="FF993366"/>
      <rgbColor rgb="FF333399"/>
      <rgbColor rgb="FF1D2B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GridLines="0" tabSelected="1" zoomScale="110" zoomScaleNormal="110" workbookViewId="0">
      <pane ySplit="9" topLeftCell="A10" activePane="bottomLeft" state="frozen"/>
      <selection pane="bottomLeft" activeCell="J6" sqref="J6"/>
    </sheetView>
  </sheetViews>
  <sheetFormatPr baseColWidth="10" defaultColWidth="8.7109375" defaultRowHeight="15" x14ac:dyDescent="0.25"/>
  <cols>
    <col min="1" max="1" width="13.42578125" customWidth="1"/>
    <col min="2" max="2" width="6.5703125" customWidth="1"/>
    <col min="3" max="3" width="12.42578125" customWidth="1"/>
    <col min="4" max="5" width="9.5703125" customWidth="1"/>
    <col min="6" max="6" width="12" customWidth="1"/>
    <col min="7" max="8" width="10" customWidth="1"/>
    <col min="9" max="9" width="11" customWidth="1"/>
    <col min="10" max="10" width="27" customWidth="1"/>
    <col min="11" max="11" width="2.140625" customWidth="1"/>
    <col min="12" max="12" width="11" hidden="1" customWidth="1"/>
  </cols>
  <sheetData>
    <row r="1" spans="1:12" ht="6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2" ht="31.5" customHeight="1" x14ac:dyDescent="0.25">
      <c r="A2" s="8" t="s">
        <v>0</v>
      </c>
      <c r="B2" s="8"/>
      <c r="C2" s="8"/>
      <c r="D2" s="8"/>
      <c r="E2" s="8"/>
      <c r="F2" s="7" t="s">
        <v>1</v>
      </c>
      <c r="G2" s="7"/>
      <c r="H2" s="7"/>
      <c r="I2" s="7"/>
      <c r="J2" s="7"/>
      <c r="L2" t="s">
        <v>2</v>
      </c>
    </row>
    <row r="3" spans="1:12" ht="6" customHeight="1" x14ac:dyDescent="0.25">
      <c r="L3" t="s">
        <v>3</v>
      </c>
    </row>
    <row r="4" spans="1:12" x14ac:dyDescent="0.25">
      <c r="A4" s="10" t="s">
        <v>4</v>
      </c>
      <c r="B4" s="6" t="s">
        <v>5</v>
      </c>
      <c r="C4" s="6"/>
      <c r="D4" s="6"/>
      <c r="F4" s="11" t="s">
        <v>6</v>
      </c>
      <c r="G4" s="30" t="s">
        <v>2</v>
      </c>
      <c r="L4" t="s">
        <v>7</v>
      </c>
    </row>
    <row r="5" spans="1:12" x14ac:dyDescent="0.25">
      <c r="A5" s="10" t="s">
        <v>8</v>
      </c>
      <c r="B5" s="6" t="s">
        <v>9</v>
      </c>
      <c r="C5" s="6"/>
      <c r="D5" s="6"/>
      <c r="F5" s="11" t="s">
        <v>10</v>
      </c>
      <c r="G5" s="12">
        <v>2026</v>
      </c>
      <c r="L5" t="s">
        <v>11</v>
      </c>
    </row>
    <row r="6" spans="1:12" x14ac:dyDescent="0.25">
      <c r="A6" s="10" t="s">
        <v>12</v>
      </c>
      <c r="B6" s="6" t="s">
        <v>13</v>
      </c>
      <c r="C6" s="6"/>
      <c r="D6" s="6"/>
      <c r="F6" s="11" t="s">
        <v>14</v>
      </c>
      <c r="G6" s="13">
        <v>0.33333333333333298</v>
      </c>
      <c r="L6" t="s">
        <v>15</v>
      </c>
    </row>
    <row r="7" spans="1:12" x14ac:dyDescent="0.25">
      <c r="A7" s="10" t="s">
        <v>16</v>
      </c>
      <c r="B7" s="6" t="s">
        <v>17</v>
      </c>
      <c r="C7" s="6"/>
      <c r="D7" s="6"/>
      <c r="F7" s="11" t="s">
        <v>18</v>
      </c>
      <c r="G7" s="14">
        <v>-1.25</v>
      </c>
      <c r="L7" t="s">
        <v>19</v>
      </c>
    </row>
    <row r="8" spans="1:12" ht="6" customHeight="1" x14ac:dyDescent="0.25">
      <c r="L8" t="s">
        <v>20</v>
      </c>
    </row>
    <row r="9" spans="1:12" ht="30" customHeight="1" x14ac:dyDescent="0.25">
      <c r="A9" s="15" t="s">
        <v>21</v>
      </c>
      <c r="B9" s="15" t="s">
        <v>22</v>
      </c>
      <c r="C9" s="15" t="s">
        <v>23</v>
      </c>
      <c r="D9" s="15" t="s">
        <v>24</v>
      </c>
      <c r="E9" s="15" t="s">
        <v>25</v>
      </c>
      <c r="F9" s="15" t="s">
        <v>26</v>
      </c>
      <c r="G9" s="15" t="s">
        <v>27</v>
      </c>
      <c r="H9" s="15" t="s">
        <v>28</v>
      </c>
      <c r="I9" s="15" t="s">
        <v>29</v>
      </c>
      <c r="J9" s="15" t="s">
        <v>30</v>
      </c>
      <c r="L9" t="s">
        <v>31</v>
      </c>
    </row>
    <row r="10" spans="1:12" ht="16.5" customHeight="1" x14ac:dyDescent="0.25">
      <c r="A10" s="16">
        <f>IF(1&lt;=DAY(EOMONTH(DATE($G$5,MATCH($G$4,$L$2:$L$13,0),1),0)),DATE($G$5,MATCH($G$4,$L$2:$L$13,0),1),"")</f>
        <v>46023</v>
      </c>
      <c r="B10" s="17" t="str">
        <f t="shared" ref="B10:B40" si="0">IF($A10="","",CHOOSE(WEEKDAY($A10,2),"Mo","Di","Mi","Do","Fr","Sa","So"))</f>
        <v>Do</v>
      </c>
      <c r="C10" s="18" t="s">
        <v>32</v>
      </c>
      <c r="D10" s="19"/>
      <c r="E10" s="19"/>
      <c r="F10" s="20"/>
      <c r="G10" s="21">
        <f t="shared" ref="G10:G40" si="1">IF($A10="","",IF(OR($C10="Urlaub",$C10="Krankheit",$C10="Feiertag"),$H10,IF(AND($D10&lt;&gt;"",$E10&lt;&gt;""),MOD($E10-$D10,1)-$F10/1440,0)))</f>
        <v>0.33333333333333298</v>
      </c>
      <c r="H10" s="21">
        <f t="shared" ref="H10:H40" si="2">IF($A10="","",IF(WEEKDAY($A10,2)&lt;=5,$G$6,0))</f>
        <v>0.33333333333333298</v>
      </c>
      <c r="I10" s="22">
        <f t="shared" ref="I10:I40" si="3">IF($A10="","",($G10-$H10)*24)</f>
        <v>0</v>
      </c>
      <c r="J10" s="23" t="s">
        <v>33</v>
      </c>
      <c r="L10" t="s">
        <v>34</v>
      </c>
    </row>
    <row r="11" spans="1:12" ht="16.5" customHeight="1" x14ac:dyDescent="0.25">
      <c r="A11" s="16">
        <f>IF(2&lt;=DAY(EOMONTH(DATE($G$5,MATCH($G$4,$L$2:$L$13,0),1),0)),DATE($G$5,MATCH($G$4,$L$2:$L$13,0),2),"")</f>
        <v>46024</v>
      </c>
      <c r="B11" s="17" t="str">
        <f t="shared" si="0"/>
        <v>Fr</v>
      </c>
      <c r="C11" s="18"/>
      <c r="D11" s="19">
        <v>0.33333333333333298</v>
      </c>
      <c r="E11" s="19">
        <v>0.6875</v>
      </c>
      <c r="F11" s="20">
        <v>30</v>
      </c>
      <c r="G11" s="21">
        <f t="shared" si="1"/>
        <v>0.3333333333333337</v>
      </c>
      <c r="H11" s="21">
        <f t="shared" si="2"/>
        <v>0.33333333333333298</v>
      </c>
      <c r="I11" s="22">
        <f t="shared" si="3"/>
        <v>1.7319479184152442E-14</v>
      </c>
      <c r="J11" s="23"/>
      <c r="L11" t="s">
        <v>35</v>
      </c>
    </row>
    <row r="12" spans="1:12" ht="16.5" customHeight="1" x14ac:dyDescent="0.25">
      <c r="A12" s="16">
        <f>IF(3&lt;=DAY(EOMONTH(DATE($G$5,MATCH($G$4,$L$2:$L$13,0),1),0)),DATE($G$5,MATCH($G$4,$L$2:$L$13,0),3),"")</f>
        <v>46025</v>
      </c>
      <c r="B12" s="17" t="str">
        <f t="shared" si="0"/>
        <v>Sa</v>
      </c>
      <c r="C12" s="18"/>
      <c r="D12" s="19"/>
      <c r="E12" s="19"/>
      <c r="F12" s="20"/>
      <c r="G12" s="21">
        <f t="shared" si="1"/>
        <v>0</v>
      </c>
      <c r="H12" s="21">
        <f t="shared" si="2"/>
        <v>0</v>
      </c>
      <c r="I12" s="22">
        <f t="shared" si="3"/>
        <v>0</v>
      </c>
      <c r="J12" s="23"/>
      <c r="L12" t="s">
        <v>36</v>
      </c>
    </row>
    <row r="13" spans="1:12" ht="16.5" customHeight="1" x14ac:dyDescent="0.25">
      <c r="A13" s="16">
        <f>IF(4&lt;=DAY(EOMONTH(DATE($G$5,MATCH($G$4,$L$2:$L$13,0),1),0)),DATE($G$5,MATCH($G$4,$L$2:$L$13,0),4),"")</f>
        <v>46026</v>
      </c>
      <c r="B13" s="17" t="str">
        <f t="shared" si="0"/>
        <v>So</v>
      </c>
      <c r="C13" s="18"/>
      <c r="D13" s="19"/>
      <c r="E13" s="19"/>
      <c r="F13" s="20"/>
      <c r="G13" s="21">
        <f t="shared" si="1"/>
        <v>0</v>
      </c>
      <c r="H13" s="21">
        <f t="shared" si="2"/>
        <v>0</v>
      </c>
      <c r="I13" s="22">
        <f t="shared" si="3"/>
        <v>0</v>
      </c>
      <c r="J13" s="23"/>
      <c r="L13" t="s">
        <v>37</v>
      </c>
    </row>
    <row r="14" spans="1:12" ht="16.5" customHeight="1" x14ac:dyDescent="0.25">
      <c r="A14" s="16">
        <f>IF(5&lt;=DAY(EOMONTH(DATE($G$5,MATCH($G$4,$L$2:$L$13,0),1),0)),DATE($G$5,MATCH($G$4,$L$2:$L$13,0),5),"")</f>
        <v>46027</v>
      </c>
      <c r="B14" s="17" t="str">
        <f t="shared" si="0"/>
        <v>Mo</v>
      </c>
      <c r="C14" s="18"/>
      <c r="D14" s="19">
        <v>0.33333333333333298</v>
      </c>
      <c r="E14" s="19">
        <v>0.70833333333333304</v>
      </c>
      <c r="F14" s="20">
        <v>45</v>
      </c>
      <c r="G14" s="21">
        <f t="shared" si="1"/>
        <v>0.34375000000000006</v>
      </c>
      <c r="H14" s="21">
        <f t="shared" si="2"/>
        <v>0.33333333333333298</v>
      </c>
      <c r="I14" s="22">
        <f t="shared" si="3"/>
        <v>0.25000000000000977</v>
      </c>
      <c r="J14" s="23"/>
    </row>
    <row r="15" spans="1:12" ht="16.5" customHeight="1" x14ac:dyDescent="0.25">
      <c r="A15" s="16">
        <f>IF(6&lt;=DAY(EOMONTH(DATE($G$5,MATCH($G$4,$L$2:$L$13,0),1),0)),DATE($G$5,MATCH($G$4,$L$2:$L$13,0),6),"")</f>
        <v>46028</v>
      </c>
      <c r="B15" s="17" t="str">
        <f t="shared" si="0"/>
        <v>Di</v>
      </c>
      <c r="C15" s="18"/>
      <c r="D15" s="19">
        <v>0.32291666666666702</v>
      </c>
      <c r="E15" s="19">
        <v>0.67708333333333304</v>
      </c>
      <c r="F15" s="20">
        <v>30</v>
      </c>
      <c r="G15" s="21">
        <f t="shared" si="1"/>
        <v>0.3333333333333327</v>
      </c>
      <c r="H15" s="21">
        <f t="shared" si="2"/>
        <v>0.33333333333333298</v>
      </c>
      <c r="I15" s="22">
        <f t="shared" si="3"/>
        <v>-6.6613381477509392E-15</v>
      </c>
      <c r="J15" s="23"/>
      <c r="L15" t="s">
        <v>38</v>
      </c>
    </row>
    <row r="16" spans="1:12" ht="16.5" customHeight="1" x14ac:dyDescent="0.25">
      <c r="A16" s="16">
        <f>IF(7&lt;=DAY(EOMONTH(DATE($G$5,MATCH($G$4,$L$2:$L$13,0),1),0)),DATE($G$5,MATCH($G$4,$L$2:$L$13,0),7),"")</f>
        <v>46029</v>
      </c>
      <c r="B16" s="17" t="str">
        <f t="shared" si="0"/>
        <v>Mi</v>
      </c>
      <c r="C16" s="18"/>
      <c r="D16" s="19">
        <v>0.33333333333333298</v>
      </c>
      <c r="E16" s="19">
        <v>0.6875</v>
      </c>
      <c r="F16" s="20">
        <v>30</v>
      </c>
      <c r="G16" s="21">
        <f t="shared" si="1"/>
        <v>0.3333333333333337</v>
      </c>
      <c r="H16" s="21">
        <f t="shared" si="2"/>
        <v>0.33333333333333298</v>
      </c>
      <c r="I16" s="22">
        <f t="shared" si="3"/>
        <v>1.7319479184152442E-14</v>
      </c>
      <c r="J16" s="23"/>
      <c r="L16" t="s">
        <v>39</v>
      </c>
    </row>
    <row r="17" spans="1:12" ht="16.5" customHeight="1" x14ac:dyDescent="0.25">
      <c r="A17" s="16">
        <f>IF(8&lt;=DAY(EOMONTH(DATE($G$5,MATCH($G$4,$L$2:$L$13,0),1),0)),DATE($G$5,MATCH($G$4,$L$2:$L$13,0),8),"")</f>
        <v>46030</v>
      </c>
      <c r="B17" s="17" t="str">
        <f t="shared" si="0"/>
        <v>Do</v>
      </c>
      <c r="C17" s="18"/>
      <c r="D17" s="19">
        <v>0.35416666666666702</v>
      </c>
      <c r="E17" s="19">
        <v>0.75</v>
      </c>
      <c r="F17" s="20">
        <v>45</v>
      </c>
      <c r="G17" s="21">
        <f t="shared" si="1"/>
        <v>0.36458333333333298</v>
      </c>
      <c r="H17" s="21">
        <f t="shared" si="2"/>
        <v>0.33333333333333298</v>
      </c>
      <c r="I17" s="22">
        <f t="shared" si="3"/>
        <v>0.75</v>
      </c>
      <c r="J17" s="23" t="s">
        <v>40</v>
      </c>
      <c r="L17" t="s">
        <v>32</v>
      </c>
    </row>
    <row r="18" spans="1:12" ht="16.5" customHeight="1" x14ac:dyDescent="0.25">
      <c r="A18" s="16">
        <f>IF(9&lt;=DAY(EOMONTH(DATE($G$5,MATCH($G$4,$L$2:$L$13,0),1),0)),DATE($G$5,MATCH($G$4,$L$2:$L$13,0),9),"")</f>
        <v>46031</v>
      </c>
      <c r="B18" s="17" t="str">
        <f t="shared" si="0"/>
        <v>Fr</v>
      </c>
      <c r="C18" s="18" t="s">
        <v>38</v>
      </c>
      <c r="D18" s="19"/>
      <c r="E18" s="19"/>
      <c r="F18" s="20"/>
      <c r="G18" s="21">
        <f t="shared" si="1"/>
        <v>0.33333333333333298</v>
      </c>
      <c r="H18" s="21">
        <f t="shared" si="2"/>
        <v>0.33333333333333298</v>
      </c>
      <c r="I18" s="22">
        <f t="shared" si="3"/>
        <v>0</v>
      </c>
      <c r="J18" s="23" t="s">
        <v>41</v>
      </c>
    </row>
    <row r="19" spans="1:12" ht="16.5" customHeight="1" x14ac:dyDescent="0.25">
      <c r="A19" s="16">
        <f>IF(10&lt;=DAY(EOMONTH(DATE($G$5,MATCH($G$4,$L$2:$L$13,0),1),0)),DATE($G$5,MATCH($G$4,$L$2:$L$13,0),10),"")</f>
        <v>46032</v>
      </c>
      <c r="B19" s="17" t="str">
        <f t="shared" si="0"/>
        <v>Sa</v>
      </c>
      <c r="C19" s="18"/>
      <c r="D19" s="19"/>
      <c r="E19" s="19"/>
      <c r="F19" s="20"/>
      <c r="G19" s="21">
        <f t="shared" si="1"/>
        <v>0</v>
      </c>
      <c r="H19" s="21">
        <f t="shared" si="2"/>
        <v>0</v>
      </c>
      <c r="I19" s="22">
        <f t="shared" si="3"/>
        <v>0</v>
      </c>
      <c r="J19" s="23"/>
    </row>
    <row r="20" spans="1:12" ht="16.5" customHeight="1" x14ac:dyDescent="0.25">
      <c r="A20" s="16">
        <f>IF(11&lt;=DAY(EOMONTH(DATE($G$5,MATCH($G$4,$L$2:$L$13,0),1),0)),DATE($G$5,MATCH($G$4,$L$2:$L$13,0),11),"")</f>
        <v>46033</v>
      </c>
      <c r="B20" s="17" t="str">
        <f t="shared" si="0"/>
        <v>So</v>
      </c>
      <c r="C20" s="18"/>
      <c r="D20" s="19"/>
      <c r="E20" s="19"/>
      <c r="F20" s="20"/>
      <c r="G20" s="21">
        <f t="shared" si="1"/>
        <v>0</v>
      </c>
      <c r="H20" s="21">
        <f t="shared" si="2"/>
        <v>0</v>
      </c>
      <c r="I20" s="22">
        <f t="shared" si="3"/>
        <v>0</v>
      </c>
      <c r="J20" s="23"/>
    </row>
    <row r="21" spans="1:12" ht="16.5" customHeight="1" x14ac:dyDescent="0.25">
      <c r="A21" s="16">
        <f>IF(12&lt;=DAY(EOMONTH(DATE($G$5,MATCH($G$4,$L$2:$L$13,0),1),0)),DATE($G$5,MATCH($G$4,$L$2:$L$13,0),12),"")</f>
        <v>46034</v>
      </c>
      <c r="B21" s="17" t="str">
        <f t="shared" si="0"/>
        <v>Mo</v>
      </c>
      <c r="C21" s="18"/>
      <c r="D21" s="19">
        <v>0.33333333333333298</v>
      </c>
      <c r="E21" s="19">
        <v>0.6875</v>
      </c>
      <c r="F21" s="20">
        <v>30</v>
      </c>
      <c r="G21" s="21">
        <f t="shared" si="1"/>
        <v>0.3333333333333337</v>
      </c>
      <c r="H21" s="21">
        <f t="shared" si="2"/>
        <v>0.33333333333333298</v>
      </c>
      <c r="I21" s="22">
        <f t="shared" si="3"/>
        <v>1.7319479184152442E-14</v>
      </c>
      <c r="J21" s="23"/>
    </row>
    <row r="22" spans="1:12" ht="16.5" customHeight="1" x14ac:dyDescent="0.25">
      <c r="A22" s="16">
        <f>IF(13&lt;=DAY(EOMONTH(DATE($G$5,MATCH($G$4,$L$2:$L$13,0),1),0)),DATE($G$5,MATCH($G$4,$L$2:$L$13,0),13),"")</f>
        <v>46035</v>
      </c>
      <c r="B22" s="17" t="str">
        <f t="shared" si="0"/>
        <v>Di</v>
      </c>
      <c r="C22" s="18"/>
      <c r="D22" s="19">
        <v>0.33333333333333298</v>
      </c>
      <c r="E22" s="19">
        <v>0.66666666666666696</v>
      </c>
      <c r="F22" s="20">
        <v>30</v>
      </c>
      <c r="G22" s="21">
        <f t="shared" si="1"/>
        <v>0.31250000000000067</v>
      </c>
      <c r="H22" s="21">
        <f t="shared" si="2"/>
        <v>0.33333333333333298</v>
      </c>
      <c r="I22" s="22">
        <f t="shared" si="3"/>
        <v>-0.49999999999997558</v>
      </c>
      <c r="J22" s="23" t="s">
        <v>42</v>
      </c>
    </row>
    <row r="23" spans="1:12" ht="16.5" customHeight="1" x14ac:dyDescent="0.25">
      <c r="A23" s="16">
        <f>IF(14&lt;=DAY(EOMONTH(DATE($G$5,MATCH($G$4,$L$2:$L$13,0),1),0)),DATE($G$5,MATCH($G$4,$L$2:$L$13,0),14),"")</f>
        <v>46036</v>
      </c>
      <c r="B23" s="17" t="str">
        <f t="shared" si="0"/>
        <v>Mi</v>
      </c>
      <c r="C23" s="18"/>
      <c r="D23" s="19">
        <v>0.33333333333333298</v>
      </c>
      <c r="E23" s="19">
        <v>0.6875</v>
      </c>
      <c r="F23" s="20">
        <v>30</v>
      </c>
      <c r="G23" s="21">
        <f t="shared" si="1"/>
        <v>0.3333333333333337</v>
      </c>
      <c r="H23" s="21">
        <f t="shared" si="2"/>
        <v>0.33333333333333298</v>
      </c>
      <c r="I23" s="22">
        <f t="shared" si="3"/>
        <v>1.7319479184152442E-14</v>
      </c>
      <c r="J23" s="23"/>
    </row>
    <row r="24" spans="1:12" ht="16.5" customHeight="1" x14ac:dyDescent="0.25">
      <c r="A24" s="16">
        <f>IF(15&lt;=DAY(EOMONTH(DATE($G$5,MATCH($G$4,$L$2:$L$13,0),1),0)),DATE($G$5,MATCH($G$4,$L$2:$L$13,0),15),"")</f>
        <v>46037</v>
      </c>
      <c r="B24" s="17" t="str">
        <f t="shared" si="0"/>
        <v>Do</v>
      </c>
      <c r="C24" s="18"/>
      <c r="D24" s="19">
        <v>0.33333333333333298</v>
      </c>
      <c r="E24" s="19">
        <v>0.71875</v>
      </c>
      <c r="F24" s="20">
        <v>45</v>
      </c>
      <c r="G24" s="21">
        <f t="shared" si="1"/>
        <v>0.35416666666666702</v>
      </c>
      <c r="H24" s="21">
        <f t="shared" si="2"/>
        <v>0.33333333333333298</v>
      </c>
      <c r="I24" s="22">
        <f t="shared" si="3"/>
        <v>0.50000000000001688</v>
      </c>
      <c r="J24" s="23"/>
    </row>
    <row r="25" spans="1:12" ht="16.5" customHeight="1" x14ac:dyDescent="0.25">
      <c r="A25" s="16">
        <f>IF(16&lt;=DAY(EOMONTH(DATE($G$5,MATCH($G$4,$L$2:$L$13,0),1),0)),DATE($G$5,MATCH($G$4,$L$2:$L$13,0),16),"")</f>
        <v>46038</v>
      </c>
      <c r="B25" s="17" t="str">
        <f t="shared" si="0"/>
        <v>Fr</v>
      </c>
      <c r="C25" s="18"/>
      <c r="D25" s="19">
        <v>0.33333333333333298</v>
      </c>
      <c r="E25" s="19">
        <v>0.6875</v>
      </c>
      <c r="F25" s="20">
        <v>30</v>
      </c>
      <c r="G25" s="21">
        <f t="shared" si="1"/>
        <v>0.3333333333333337</v>
      </c>
      <c r="H25" s="21">
        <f t="shared" si="2"/>
        <v>0.33333333333333298</v>
      </c>
      <c r="I25" s="22">
        <f t="shared" si="3"/>
        <v>1.7319479184152442E-14</v>
      </c>
      <c r="J25" s="23"/>
    </row>
    <row r="26" spans="1:12" ht="16.5" customHeight="1" x14ac:dyDescent="0.25">
      <c r="A26" s="16">
        <f>IF(17&lt;=DAY(EOMONTH(DATE($G$5,MATCH($G$4,$L$2:$L$13,0),1),0)),DATE($G$5,MATCH($G$4,$L$2:$L$13,0),17),"")</f>
        <v>46039</v>
      </c>
      <c r="B26" s="17" t="str">
        <f t="shared" si="0"/>
        <v>Sa</v>
      </c>
      <c r="C26" s="18"/>
      <c r="D26" s="19"/>
      <c r="E26" s="19"/>
      <c r="F26" s="20"/>
      <c r="G26" s="21">
        <f t="shared" si="1"/>
        <v>0</v>
      </c>
      <c r="H26" s="21">
        <f t="shared" si="2"/>
        <v>0</v>
      </c>
      <c r="I26" s="22">
        <f t="shared" si="3"/>
        <v>0</v>
      </c>
      <c r="J26" s="23"/>
    </row>
    <row r="27" spans="1:12" ht="16.5" customHeight="1" x14ac:dyDescent="0.25">
      <c r="A27" s="16">
        <f>IF(18&lt;=DAY(EOMONTH(DATE($G$5,MATCH($G$4,$L$2:$L$13,0),1),0)),DATE($G$5,MATCH($G$4,$L$2:$L$13,0),18),"")</f>
        <v>46040</v>
      </c>
      <c r="B27" s="17" t="str">
        <f t="shared" si="0"/>
        <v>So</v>
      </c>
      <c r="C27" s="18"/>
      <c r="D27" s="19"/>
      <c r="E27" s="19"/>
      <c r="F27" s="20"/>
      <c r="G27" s="21">
        <f t="shared" si="1"/>
        <v>0</v>
      </c>
      <c r="H27" s="21">
        <f t="shared" si="2"/>
        <v>0</v>
      </c>
      <c r="I27" s="22">
        <f t="shared" si="3"/>
        <v>0</v>
      </c>
      <c r="J27" s="23"/>
    </row>
    <row r="28" spans="1:12" ht="16.5" customHeight="1" x14ac:dyDescent="0.25">
      <c r="A28" s="16">
        <f>IF(19&lt;=DAY(EOMONTH(DATE($G$5,MATCH($G$4,$L$2:$L$13,0),1),0)),DATE($G$5,MATCH($G$4,$L$2:$L$13,0),19),"")</f>
        <v>46041</v>
      </c>
      <c r="B28" s="17" t="str">
        <f t="shared" si="0"/>
        <v>Mo</v>
      </c>
      <c r="C28" s="18" t="s">
        <v>39</v>
      </c>
      <c r="D28" s="19"/>
      <c r="E28" s="19"/>
      <c r="F28" s="20"/>
      <c r="G28" s="21">
        <f t="shared" si="1"/>
        <v>0.33333333333333298</v>
      </c>
      <c r="H28" s="21">
        <f t="shared" si="2"/>
        <v>0.33333333333333298</v>
      </c>
      <c r="I28" s="22">
        <f t="shared" si="3"/>
        <v>0</v>
      </c>
      <c r="J28" s="23" t="s">
        <v>43</v>
      </c>
    </row>
    <row r="29" spans="1:12" ht="16.5" customHeight="1" x14ac:dyDescent="0.25">
      <c r="A29" s="16">
        <f>IF(20&lt;=DAY(EOMONTH(DATE($G$5,MATCH($G$4,$L$2:$L$13,0),1),0)),DATE($G$5,MATCH($G$4,$L$2:$L$13,0),20),"")</f>
        <v>46042</v>
      </c>
      <c r="B29" s="17" t="str">
        <f t="shared" si="0"/>
        <v>Di</v>
      </c>
      <c r="C29" s="18" t="s">
        <v>39</v>
      </c>
      <c r="D29" s="19"/>
      <c r="E29" s="19"/>
      <c r="F29" s="20"/>
      <c r="G29" s="21">
        <f t="shared" si="1"/>
        <v>0.33333333333333298</v>
      </c>
      <c r="H29" s="21">
        <f t="shared" si="2"/>
        <v>0.33333333333333298</v>
      </c>
      <c r="I29" s="22">
        <f t="shared" si="3"/>
        <v>0</v>
      </c>
      <c r="J29" s="23"/>
    </row>
    <row r="30" spans="1:12" ht="16.5" customHeight="1" x14ac:dyDescent="0.25">
      <c r="A30" s="16">
        <f>IF(21&lt;=DAY(EOMONTH(DATE($G$5,MATCH($G$4,$L$2:$L$13,0),1),0)),DATE($G$5,MATCH($G$4,$L$2:$L$13,0),21),"")</f>
        <v>46043</v>
      </c>
      <c r="B30" s="17" t="str">
        <f t="shared" si="0"/>
        <v>Mi</v>
      </c>
      <c r="C30" s="18"/>
      <c r="D30" s="19">
        <v>0.33333333333333298</v>
      </c>
      <c r="E30" s="19">
        <v>0.6875</v>
      </c>
      <c r="F30" s="20">
        <v>30</v>
      </c>
      <c r="G30" s="21">
        <f t="shared" si="1"/>
        <v>0.3333333333333337</v>
      </c>
      <c r="H30" s="21">
        <f t="shared" si="2"/>
        <v>0.33333333333333298</v>
      </c>
      <c r="I30" s="22">
        <f t="shared" si="3"/>
        <v>1.7319479184152442E-14</v>
      </c>
      <c r="J30" s="23"/>
    </row>
    <row r="31" spans="1:12" ht="16.5" customHeight="1" x14ac:dyDescent="0.25">
      <c r="A31" s="16">
        <f>IF(22&lt;=DAY(EOMONTH(DATE($G$5,MATCH($G$4,$L$2:$L$13,0),1),0)),DATE($G$5,MATCH($G$4,$L$2:$L$13,0),22),"")</f>
        <v>46044</v>
      </c>
      <c r="B31" s="17" t="str">
        <f t="shared" si="0"/>
        <v>Do</v>
      </c>
      <c r="C31" s="18"/>
      <c r="D31" s="19">
        <v>0.33333333333333298</v>
      </c>
      <c r="E31" s="19">
        <v>0.69791666666666696</v>
      </c>
      <c r="F31" s="20">
        <v>30</v>
      </c>
      <c r="G31" s="21">
        <f t="shared" si="1"/>
        <v>0.34375000000000067</v>
      </c>
      <c r="H31" s="21">
        <f t="shared" si="2"/>
        <v>0.33333333333333298</v>
      </c>
      <c r="I31" s="22">
        <f t="shared" si="3"/>
        <v>0.25000000000002442</v>
      </c>
      <c r="J31" s="23"/>
    </row>
    <row r="32" spans="1:12" ht="16.5" customHeight="1" x14ac:dyDescent="0.25">
      <c r="A32" s="16">
        <f>IF(23&lt;=DAY(EOMONTH(DATE($G$5,MATCH($G$4,$L$2:$L$13,0),1),0)),DATE($G$5,MATCH($G$4,$L$2:$L$13,0),23),"")</f>
        <v>46045</v>
      </c>
      <c r="B32" s="17" t="str">
        <f t="shared" si="0"/>
        <v>Fr</v>
      </c>
      <c r="C32" s="18"/>
      <c r="D32" s="19">
        <v>0.33333333333333298</v>
      </c>
      <c r="E32" s="19">
        <v>0.64583333333333304</v>
      </c>
      <c r="F32" s="20">
        <v>30</v>
      </c>
      <c r="G32" s="21">
        <f t="shared" si="1"/>
        <v>0.29166666666666674</v>
      </c>
      <c r="H32" s="21">
        <f t="shared" si="2"/>
        <v>0.33333333333333298</v>
      </c>
      <c r="I32" s="22">
        <f t="shared" si="3"/>
        <v>-0.99999999999998979</v>
      </c>
      <c r="J32" s="23" t="s">
        <v>44</v>
      </c>
    </row>
    <row r="33" spans="1:10" ht="16.5" customHeight="1" x14ac:dyDescent="0.25">
      <c r="A33" s="16">
        <f>IF(24&lt;=DAY(EOMONTH(DATE($G$5,MATCH($G$4,$L$2:$L$13,0),1),0)),DATE($G$5,MATCH($G$4,$L$2:$L$13,0),24),"")</f>
        <v>46046</v>
      </c>
      <c r="B33" s="17" t="str">
        <f t="shared" si="0"/>
        <v>Sa</v>
      </c>
      <c r="C33" s="18"/>
      <c r="D33" s="19"/>
      <c r="E33" s="19"/>
      <c r="F33" s="20"/>
      <c r="G33" s="21">
        <f t="shared" si="1"/>
        <v>0</v>
      </c>
      <c r="H33" s="21">
        <f t="shared" si="2"/>
        <v>0</v>
      </c>
      <c r="I33" s="22">
        <f t="shared" si="3"/>
        <v>0</v>
      </c>
      <c r="J33" s="23"/>
    </row>
    <row r="34" spans="1:10" ht="16.5" customHeight="1" x14ac:dyDescent="0.25">
      <c r="A34" s="16">
        <f>IF(25&lt;=DAY(EOMONTH(DATE($G$5,MATCH($G$4,$L$2:$L$13,0),1),0)),DATE($G$5,MATCH($G$4,$L$2:$L$13,0),25),"")</f>
        <v>46047</v>
      </c>
      <c r="B34" s="17" t="str">
        <f t="shared" si="0"/>
        <v>So</v>
      </c>
      <c r="C34" s="18"/>
      <c r="D34" s="19"/>
      <c r="E34" s="19"/>
      <c r="F34" s="20"/>
      <c r="G34" s="21">
        <f t="shared" si="1"/>
        <v>0</v>
      </c>
      <c r="H34" s="21">
        <f t="shared" si="2"/>
        <v>0</v>
      </c>
      <c r="I34" s="22">
        <f t="shared" si="3"/>
        <v>0</v>
      </c>
      <c r="J34" s="23"/>
    </row>
    <row r="35" spans="1:10" ht="16.5" customHeight="1" x14ac:dyDescent="0.25">
      <c r="A35" s="16">
        <f>IF(26&lt;=DAY(EOMONTH(DATE($G$5,MATCH($G$4,$L$2:$L$13,0),1),0)),DATE($G$5,MATCH($G$4,$L$2:$L$13,0),26),"")</f>
        <v>46048</v>
      </c>
      <c r="B35" s="17" t="str">
        <f t="shared" si="0"/>
        <v>Mo</v>
      </c>
      <c r="C35" s="18"/>
      <c r="D35" s="19">
        <v>0.33333333333333298</v>
      </c>
      <c r="E35" s="19">
        <v>0.6875</v>
      </c>
      <c r="F35" s="20">
        <v>30</v>
      </c>
      <c r="G35" s="21">
        <f t="shared" si="1"/>
        <v>0.3333333333333337</v>
      </c>
      <c r="H35" s="21">
        <f t="shared" si="2"/>
        <v>0.33333333333333298</v>
      </c>
      <c r="I35" s="22">
        <f t="shared" si="3"/>
        <v>1.7319479184152442E-14</v>
      </c>
      <c r="J35" s="23"/>
    </row>
    <row r="36" spans="1:10" ht="16.5" customHeight="1" x14ac:dyDescent="0.25">
      <c r="A36" s="16">
        <f>IF(27&lt;=DAY(EOMONTH(DATE($G$5,MATCH($G$4,$L$2:$L$13,0),1),0)),DATE($G$5,MATCH($G$4,$L$2:$L$13,0),27),"")</f>
        <v>46049</v>
      </c>
      <c r="B36" s="17" t="str">
        <f t="shared" si="0"/>
        <v>Di</v>
      </c>
      <c r="C36" s="18"/>
      <c r="D36" s="19">
        <v>0.33333333333333298</v>
      </c>
      <c r="E36" s="19">
        <v>0.6875</v>
      </c>
      <c r="F36" s="20">
        <v>30</v>
      </c>
      <c r="G36" s="21">
        <f t="shared" si="1"/>
        <v>0.3333333333333337</v>
      </c>
      <c r="H36" s="21">
        <f t="shared" si="2"/>
        <v>0.33333333333333298</v>
      </c>
      <c r="I36" s="22">
        <f t="shared" si="3"/>
        <v>1.7319479184152442E-14</v>
      </c>
      <c r="J36" s="23"/>
    </row>
    <row r="37" spans="1:10" ht="16.5" customHeight="1" x14ac:dyDescent="0.25">
      <c r="A37" s="16">
        <f>IF(28&lt;=DAY(EOMONTH(DATE($G$5,MATCH($G$4,$L$2:$L$13,0),1),0)),DATE($G$5,MATCH($G$4,$L$2:$L$13,0),28),"")</f>
        <v>46050</v>
      </c>
      <c r="B37" s="17" t="str">
        <f t="shared" si="0"/>
        <v>Mi</v>
      </c>
      <c r="C37" s="18"/>
      <c r="D37" s="19">
        <v>0.33333333333333298</v>
      </c>
      <c r="E37" s="19">
        <v>0.70833333333333304</v>
      </c>
      <c r="F37" s="20">
        <v>45</v>
      </c>
      <c r="G37" s="21">
        <f t="shared" si="1"/>
        <v>0.34375000000000006</v>
      </c>
      <c r="H37" s="21">
        <f t="shared" si="2"/>
        <v>0.33333333333333298</v>
      </c>
      <c r="I37" s="22">
        <f t="shared" si="3"/>
        <v>0.25000000000000977</v>
      </c>
      <c r="J37" s="23"/>
    </row>
    <row r="38" spans="1:10" ht="16.5" customHeight="1" x14ac:dyDescent="0.25">
      <c r="A38" s="16">
        <f>IF(29&lt;=DAY(EOMONTH(DATE($G$5,MATCH($G$4,$L$2:$L$13,0),1),0)),DATE($G$5,MATCH($G$4,$L$2:$L$13,0),29),"")</f>
        <v>46051</v>
      </c>
      <c r="B38" s="17" t="str">
        <f t="shared" si="0"/>
        <v>Do</v>
      </c>
      <c r="C38" s="18"/>
      <c r="D38" s="19">
        <v>0.33333333333333298</v>
      </c>
      <c r="E38" s="19">
        <v>0.6875</v>
      </c>
      <c r="F38" s="20">
        <v>30</v>
      </c>
      <c r="G38" s="21">
        <f t="shared" si="1"/>
        <v>0.3333333333333337</v>
      </c>
      <c r="H38" s="21">
        <f t="shared" si="2"/>
        <v>0.33333333333333298</v>
      </c>
      <c r="I38" s="22">
        <f t="shared" si="3"/>
        <v>1.7319479184152442E-14</v>
      </c>
      <c r="J38" s="23"/>
    </row>
    <row r="39" spans="1:10" ht="16.5" customHeight="1" x14ac:dyDescent="0.25">
      <c r="A39" s="16">
        <f>IF(30&lt;=DAY(EOMONTH(DATE($G$5,MATCH($G$4,$L$2:$L$13,0),1),0)),DATE($G$5,MATCH($G$4,$L$2:$L$13,0),30),"")</f>
        <v>46052</v>
      </c>
      <c r="B39" s="17" t="str">
        <f t="shared" si="0"/>
        <v>Fr</v>
      </c>
      <c r="C39" s="18"/>
      <c r="D39" s="19">
        <v>0.33333333333333298</v>
      </c>
      <c r="E39" s="19">
        <v>0.6875</v>
      </c>
      <c r="F39" s="20">
        <v>30</v>
      </c>
      <c r="G39" s="21">
        <f t="shared" si="1"/>
        <v>0.3333333333333337</v>
      </c>
      <c r="H39" s="21">
        <f t="shared" si="2"/>
        <v>0.33333333333333298</v>
      </c>
      <c r="I39" s="22">
        <f t="shared" si="3"/>
        <v>1.7319479184152442E-14</v>
      </c>
      <c r="J39" s="23"/>
    </row>
    <row r="40" spans="1:10" ht="16.5" customHeight="1" x14ac:dyDescent="0.25">
      <c r="A40" s="16">
        <f>IF(31&lt;=DAY(EOMONTH(DATE($G$5,MATCH($G$4,$L$2:$L$13,0),1),0)),DATE($G$5,MATCH($G$4,$L$2:$L$13,0),31),"")</f>
        <v>46053</v>
      </c>
      <c r="B40" s="17" t="str">
        <f t="shared" si="0"/>
        <v>Sa</v>
      </c>
      <c r="C40" s="18"/>
      <c r="D40" s="19"/>
      <c r="E40" s="19"/>
      <c r="F40" s="20"/>
      <c r="G40" s="21">
        <f t="shared" si="1"/>
        <v>0</v>
      </c>
      <c r="H40" s="21">
        <f t="shared" si="2"/>
        <v>0</v>
      </c>
      <c r="I40" s="22">
        <f t="shared" si="3"/>
        <v>0</v>
      </c>
      <c r="J40" s="23"/>
    </row>
    <row r="41" spans="1:10" ht="6" customHeight="1" x14ac:dyDescent="0.25"/>
    <row r="42" spans="1:10" ht="21.75" customHeight="1" x14ac:dyDescent="0.25">
      <c r="A42" s="5" t="s">
        <v>45</v>
      </c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5">
      <c r="A43" s="4" t="s">
        <v>46</v>
      </c>
      <c r="B43" s="4"/>
      <c r="C43" s="24">
        <f>SUM($G$10:$G$40)</f>
        <v>7.3541666666666723</v>
      </c>
      <c r="D43" s="4" t="s">
        <v>47</v>
      </c>
      <c r="E43" s="4"/>
      <c r="F43" s="4"/>
      <c r="G43" s="25">
        <f>SUMPRODUCT(($D$10:$D$40&lt;&gt;"")*1)</f>
        <v>18</v>
      </c>
    </row>
    <row r="44" spans="1:10" x14ac:dyDescent="0.25">
      <c r="A44" s="4" t="s">
        <v>48</v>
      </c>
      <c r="B44" s="4"/>
      <c r="C44" s="24">
        <f>SUM($H$10:$H$40)</f>
        <v>7.3333333333333259</v>
      </c>
      <c r="D44" s="4" t="s">
        <v>49</v>
      </c>
      <c r="E44" s="4"/>
      <c r="F44" s="4"/>
      <c r="G44" s="25">
        <f>COUNTIF($C$10:$C$40,"Urlaub")</f>
        <v>1</v>
      </c>
    </row>
    <row r="45" spans="1:10" x14ac:dyDescent="0.25">
      <c r="A45" s="4" t="s">
        <v>50</v>
      </c>
      <c r="B45" s="4"/>
      <c r="C45" s="26">
        <f>(SUM($G$10:$G$40)-SUM($H$10:$H$40))*24</f>
        <v>0.50000000000031264</v>
      </c>
      <c r="D45" s="4" t="s">
        <v>51</v>
      </c>
      <c r="E45" s="4"/>
      <c r="F45" s="4"/>
      <c r="G45" s="25">
        <f>COUNTIF($C$10:$C$40,"Krankheit")</f>
        <v>2</v>
      </c>
    </row>
    <row r="46" spans="1:10" x14ac:dyDescent="0.25">
      <c r="A46" s="4" t="s">
        <v>18</v>
      </c>
      <c r="B46" s="4"/>
      <c r="C46" s="26">
        <f>$G$7</f>
        <v>-1.25</v>
      </c>
      <c r="D46" s="4" t="s">
        <v>52</v>
      </c>
      <c r="E46" s="4"/>
      <c r="F46" s="4"/>
      <c r="G46" s="25">
        <f>COUNTIF($C$10:$C$40,"Feiertag")</f>
        <v>1</v>
      </c>
    </row>
    <row r="47" spans="1:10" x14ac:dyDescent="0.25">
      <c r="A47" s="3" t="s">
        <v>53</v>
      </c>
      <c r="B47" s="3"/>
      <c r="C47" s="27">
        <f>C45+C46</f>
        <v>-0.74999999999968736</v>
      </c>
      <c r="D47" s="4" t="s">
        <v>54</v>
      </c>
      <c r="E47" s="4"/>
      <c r="F47" s="4"/>
      <c r="G47" s="28">
        <f>SUM($F$10:$F$40)</f>
        <v>600</v>
      </c>
    </row>
    <row r="49" spans="1:10" ht="15.75" customHeight="1" x14ac:dyDescent="0.25">
      <c r="A49" s="2" t="s">
        <v>55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15.75" customHeight="1" x14ac:dyDescent="0.25">
      <c r="A50" s="2" t="s">
        <v>56</v>
      </c>
      <c r="B50" s="2"/>
      <c r="C50" s="2"/>
      <c r="D50" s="2"/>
      <c r="E50" s="2"/>
      <c r="F50" s="2"/>
      <c r="G50" s="2"/>
      <c r="H50" s="2"/>
      <c r="I50" s="2"/>
      <c r="J50" s="2"/>
    </row>
    <row r="52" spans="1:10" x14ac:dyDescent="0.25">
      <c r="A52" s="29"/>
      <c r="B52" s="29"/>
      <c r="C52" s="29"/>
      <c r="D52" s="29"/>
      <c r="E52" s="29"/>
      <c r="F52" s="29"/>
      <c r="G52" s="29"/>
      <c r="H52" s="29"/>
      <c r="I52" s="29"/>
    </row>
    <row r="53" spans="1:10" x14ac:dyDescent="0.25">
      <c r="A53" s="1" t="s">
        <v>57</v>
      </c>
      <c r="B53" s="1"/>
      <c r="C53" s="1"/>
      <c r="D53" s="1" t="s">
        <v>58</v>
      </c>
      <c r="E53" s="1"/>
      <c r="F53" s="1"/>
      <c r="G53" s="1" t="s">
        <v>59</v>
      </c>
      <c r="H53" s="1"/>
      <c r="I53" s="1"/>
    </row>
  </sheetData>
  <mergeCells count="23">
    <mergeCell ref="A47:B47"/>
    <mergeCell ref="D47:F47"/>
    <mergeCell ref="A49:J49"/>
    <mergeCell ref="A50:J50"/>
    <mergeCell ref="A53:C53"/>
    <mergeCell ref="D53:F53"/>
    <mergeCell ref="G53:I53"/>
    <mergeCell ref="A44:B44"/>
    <mergeCell ref="D44:F44"/>
    <mergeCell ref="A45:B45"/>
    <mergeCell ref="D45:F45"/>
    <mergeCell ref="A46:B46"/>
    <mergeCell ref="D46:F46"/>
    <mergeCell ref="B5:D5"/>
    <mergeCell ref="B6:D6"/>
    <mergeCell ref="B7:D7"/>
    <mergeCell ref="A42:J42"/>
    <mergeCell ref="A43:B43"/>
    <mergeCell ref="D43:F43"/>
    <mergeCell ref="A1:J1"/>
    <mergeCell ref="A2:E2"/>
    <mergeCell ref="F2:J2"/>
    <mergeCell ref="B4:D4"/>
  </mergeCells>
  <conditionalFormatting sqref="A10:J40">
    <cfRule type="expression" dxfId="3" priority="2">
      <formula>AND($A10&lt;&gt;"",WEEKDAY($A10,2)&gt;=6)</formula>
    </cfRule>
    <cfRule type="expression" dxfId="2" priority="3">
      <formula>$C10="Urlaub"</formula>
    </cfRule>
    <cfRule type="expression" dxfId="1" priority="4">
      <formula>$C10="Krankheit"</formula>
    </cfRule>
    <cfRule type="expression" dxfId="0" priority="5">
      <formula>$C10="Feiertag"</formula>
    </cfRule>
  </conditionalFormatting>
  <dataValidations count="3">
    <dataValidation type="list" allowBlank="1" promptTitle="Status" prompt="Nur bei Abwesenheit ausfüllen" sqref="C10:C40" xr:uid="{00000000-0002-0000-0000-000000000000}">
      <formula1>$L$15:$L$17</formula1>
      <formula2>0</formula2>
    </dataValidation>
    <dataValidation type="list" sqref="G4" xr:uid="{00000000-0002-0000-0000-000001000000}">
      <formula1>$L$2:$L$13</formula1>
      <formula2>0</formula2>
    </dataValidation>
    <dataValidation type="whole" sqref="G5" xr:uid="{00000000-0002-0000-0000-000002000000}">
      <formula1>2000</formula1>
      <formula2>2100</formula2>
    </dataValidation>
  </dataValidations>
  <pageMargins left="0.4" right="0.4" top="0.5" bottom="0.5" header="0.511811023622047" footer="0.511811023622047"/>
  <pageSetup fitToHeight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Zeitnachweis</vt:lpstr>
      <vt:lpstr>Zeitnachweis!Druckbereich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2026-09-05T08:44:49Z</dcterms:created>
  <dcterms:modified xsi:type="dcterms:W3CDTF">2026-09-05T10:10:40Z</dcterms:modified>
  <dc:language>en-US</dc:language>
</cp:coreProperties>
</file>