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96CDD4D0-FD44-47BF-9C16-81CC828A4AB5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Dashboard" sheetId="1" r:id="rId1"/>
    <sheet name="Fahrzeuge" sheetId="2" r:id="rId2"/>
    <sheet name="Kostenerfassung" sheetId="3" r:id="rId3"/>
    <sheet name="Wartung &amp; Termine" sheetId="4" r:id="rId4"/>
  </sheets>
  <definedNames>
    <definedName name="_xlnm._FilterDatabase" localSheetId="1" hidden="1">Fahrzeuge!$A$5:$X$40</definedName>
    <definedName name="_xlnm._FilterDatabase" localSheetId="2" hidden="1">Kostenerfassung!$A$5:$L$80</definedName>
    <definedName name="_xlnm._FilterDatabase" localSheetId="3" hidden="1">'Wartung &amp; Termine'!$A$5:$L$40</definedName>
    <definedName name="_xlnm.Print_Area" localSheetId="1">Fahrzeuge!$A$1:$X$40</definedName>
    <definedName name="_xlnm.Print_Area" localSheetId="2">Kostenerfassung!$A$1:$L$82</definedName>
    <definedName name="_xlnm.Print_Area" localSheetId="3">'Wartung &amp; Termine'!$A$1:$L$40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40" i="4" l="1"/>
  <c r="J40" i="4"/>
  <c r="I40" i="4"/>
  <c r="A40" i="4"/>
  <c r="K39" i="4"/>
  <c r="J39" i="4"/>
  <c r="I39" i="4"/>
  <c r="A39" i="4"/>
  <c r="K38" i="4"/>
  <c r="J38" i="4"/>
  <c r="I38" i="4"/>
  <c r="A38" i="4"/>
  <c r="K37" i="4"/>
  <c r="J37" i="4"/>
  <c r="I37" i="4"/>
  <c r="A37" i="4"/>
  <c r="K36" i="4"/>
  <c r="J36" i="4"/>
  <c r="I36" i="4"/>
  <c r="A36" i="4"/>
  <c r="K35" i="4"/>
  <c r="J35" i="4"/>
  <c r="I35" i="4"/>
  <c r="A35" i="4"/>
  <c r="K34" i="4"/>
  <c r="J34" i="4"/>
  <c r="I34" i="4"/>
  <c r="A34" i="4"/>
  <c r="K33" i="4"/>
  <c r="J33" i="4"/>
  <c r="I33" i="4"/>
  <c r="A33" i="4"/>
  <c r="K32" i="4"/>
  <c r="J32" i="4"/>
  <c r="I32" i="4"/>
  <c r="A32" i="4"/>
  <c r="K31" i="4"/>
  <c r="J31" i="4"/>
  <c r="I31" i="4"/>
  <c r="A31" i="4"/>
  <c r="K30" i="4"/>
  <c r="J30" i="4"/>
  <c r="I30" i="4"/>
  <c r="A30" i="4"/>
  <c r="K29" i="4"/>
  <c r="J29" i="4"/>
  <c r="I29" i="4"/>
  <c r="A29" i="4"/>
  <c r="K28" i="4"/>
  <c r="J28" i="4"/>
  <c r="I28" i="4"/>
  <c r="A28" i="4"/>
  <c r="K27" i="4"/>
  <c r="J27" i="4"/>
  <c r="I27" i="4"/>
  <c r="A27" i="4"/>
  <c r="K26" i="4"/>
  <c r="J26" i="4"/>
  <c r="I26" i="4"/>
  <c r="A26" i="4"/>
  <c r="K25" i="4"/>
  <c r="J25" i="4"/>
  <c r="I25" i="4"/>
  <c r="A25" i="4"/>
  <c r="K24" i="4"/>
  <c r="J24" i="4"/>
  <c r="I24" i="4"/>
  <c r="A24" i="4"/>
  <c r="K23" i="4"/>
  <c r="J23" i="4"/>
  <c r="I23" i="4"/>
  <c r="A23" i="4"/>
  <c r="K22" i="4"/>
  <c r="J22" i="4"/>
  <c r="I22" i="4"/>
  <c r="A22" i="4"/>
  <c r="K21" i="4"/>
  <c r="J21" i="4"/>
  <c r="I21" i="4"/>
  <c r="A21" i="4"/>
  <c r="K20" i="4"/>
  <c r="J20" i="4"/>
  <c r="I20" i="4"/>
  <c r="A20" i="4"/>
  <c r="K19" i="4"/>
  <c r="J19" i="4"/>
  <c r="I19" i="4"/>
  <c r="A19" i="4"/>
  <c r="K18" i="4"/>
  <c r="J18" i="4"/>
  <c r="I18" i="4"/>
  <c r="A18" i="4"/>
  <c r="K17" i="4"/>
  <c r="J17" i="4"/>
  <c r="I17" i="4"/>
  <c r="A17" i="4"/>
  <c r="K16" i="4"/>
  <c r="J16" i="4"/>
  <c r="I16" i="4"/>
  <c r="A16" i="4"/>
  <c r="K15" i="4"/>
  <c r="J15" i="4"/>
  <c r="I15" i="4"/>
  <c r="A15" i="4"/>
  <c r="K14" i="4"/>
  <c r="J14" i="4"/>
  <c r="I14" i="4"/>
  <c r="A14" i="4"/>
  <c r="K13" i="4"/>
  <c r="J13" i="4"/>
  <c r="I13" i="4"/>
  <c r="A13" i="4"/>
  <c r="K12" i="4"/>
  <c r="J12" i="4"/>
  <c r="I12" i="4"/>
  <c r="A12" i="4"/>
  <c r="K11" i="4"/>
  <c r="J11" i="4"/>
  <c r="I11" i="4"/>
  <c r="A11" i="4"/>
  <c r="K10" i="4"/>
  <c r="J10" i="4"/>
  <c r="I10" i="4"/>
  <c r="A10" i="4"/>
  <c r="K9" i="4"/>
  <c r="J9" i="4"/>
  <c r="I9" i="4"/>
  <c r="A9" i="4"/>
  <c r="K8" i="4"/>
  <c r="J8" i="4"/>
  <c r="I8" i="4"/>
  <c r="A8" i="4"/>
  <c r="K7" i="4"/>
  <c r="J7" i="4"/>
  <c r="I7" i="4"/>
  <c r="A7" i="4"/>
  <c r="K6" i="4"/>
  <c r="J6" i="4"/>
  <c r="C32" i="1" s="1"/>
  <c r="I6" i="4"/>
  <c r="A6" i="4"/>
  <c r="G82" i="3"/>
  <c r="J80" i="3"/>
  <c r="I80" i="3"/>
  <c r="A80" i="3"/>
  <c r="J79" i="3"/>
  <c r="I79" i="3"/>
  <c r="A79" i="3"/>
  <c r="J78" i="3"/>
  <c r="I78" i="3"/>
  <c r="A78" i="3"/>
  <c r="J77" i="3"/>
  <c r="I77" i="3"/>
  <c r="A77" i="3"/>
  <c r="J76" i="3"/>
  <c r="I76" i="3"/>
  <c r="A76" i="3"/>
  <c r="J75" i="3"/>
  <c r="I75" i="3"/>
  <c r="A75" i="3"/>
  <c r="J74" i="3"/>
  <c r="I74" i="3"/>
  <c r="A74" i="3"/>
  <c r="J73" i="3"/>
  <c r="I73" i="3"/>
  <c r="A73" i="3"/>
  <c r="J72" i="3"/>
  <c r="I72" i="3"/>
  <c r="A72" i="3"/>
  <c r="J71" i="3"/>
  <c r="I71" i="3"/>
  <c r="A71" i="3"/>
  <c r="J70" i="3"/>
  <c r="I70" i="3"/>
  <c r="A70" i="3"/>
  <c r="J69" i="3"/>
  <c r="I69" i="3"/>
  <c r="A69" i="3"/>
  <c r="J68" i="3"/>
  <c r="I68" i="3"/>
  <c r="A68" i="3"/>
  <c r="J67" i="3"/>
  <c r="I67" i="3"/>
  <c r="A67" i="3"/>
  <c r="J66" i="3"/>
  <c r="I66" i="3"/>
  <c r="A66" i="3"/>
  <c r="J65" i="3"/>
  <c r="I65" i="3"/>
  <c r="A65" i="3"/>
  <c r="J64" i="3"/>
  <c r="I64" i="3"/>
  <c r="A64" i="3"/>
  <c r="J63" i="3"/>
  <c r="I63" i="3"/>
  <c r="A63" i="3"/>
  <c r="J62" i="3"/>
  <c r="I62" i="3"/>
  <c r="A62" i="3"/>
  <c r="J61" i="3"/>
  <c r="I61" i="3"/>
  <c r="A61" i="3"/>
  <c r="J60" i="3"/>
  <c r="I60" i="3"/>
  <c r="A60" i="3"/>
  <c r="J59" i="3"/>
  <c r="I59" i="3"/>
  <c r="A59" i="3"/>
  <c r="J58" i="3"/>
  <c r="I58" i="3"/>
  <c r="A58" i="3"/>
  <c r="J57" i="3"/>
  <c r="I57" i="3"/>
  <c r="A57" i="3"/>
  <c r="J56" i="3"/>
  <c r="I56" i="3"/>
  <c r="A56" i="3"/>
  <c r="J55" i="3"/>
  <c r="I55" i="3"/>
  <c r="A55" i="3"/>
  <c r="J54" i="3"/>
  <c r="I54" i="3"/>
  <c r="A54" i="3"/>
  <c r="J53" i="3"/>
  <c r="I53" i="3"/>
  <c r="A53" i="3"/>
  <c r="J52" i="3"/>
  <c r="I52" i="3"/>
  <c r="A52" i="3"/>
  <c r="J51" i="3"/>
  <c r="I51" i="3"/>
  <c r="A51" i="3"/>
  <c r="J50" i="3"/>
  <c r="I50" i="3"/>
  <c r="A50" i="3"/>
  <c r="J49" i="3"/>
  <c r="I49" i="3"/>
  <c r="A49" i="3"/>
  <c r="J48" i="3"/>
  <c r="I48" i="3"/>
  <c r="A48" i="3"/>
  <c r="J47" i="3"/>
  <c r="I47" i="3"/>
  <c r="A47" i="3"/>
  <c r="J46" i="3"/>
  <c r="I46" i="3"/>
  <c r="A46" i="3"/>
  <c r="J45" i="3"/>
  <c r="I45" i="3"/>
  <c r="A45" i="3"/>
  <c r="I44" i="3"/>
  <c r="J44" i="3" s="1"/>
  <c r="A44" i="3"/>
  <c r="I43" i="3"/>
  <c r="J43" i="3" s="1"/>
  <c r="A43" i="3"/>
  <c r="I42" i="3"/>
  <c r="J42" i="3" s="1"/>
  <c r="A42" i="3"/>
  <c r="J41" i="3"/>
  <c r="I41" i="3"/>
  <c r="A41" i="3"/>
  <c r="I40" i="3"/>
  <c r="J40" i="3" s="1"/>
  <c r="A40" i="3"/>
  <c r="I39" i="3"/>
  <c r="J39" i="3" s="1"/>
  <c r="A39" i="3"/>
  <c r="I38" i="3"/>
  <c r="J38" i="3" s="1"/>
  <c r="A38" i="3"/>
  <c r="J37" i="3"/>
  <c r="I37" i="3"/>
  <c r="A37" i="3"/>
  <c r="J36" i="3"/>
  <c r="I36" i="3"/>
  <c r="A36" i="3"/>
  <c r="J35" i="3"/>
  <c r="I35" i="3"/>
  <c r="A35" i="3"/>
  <c r="I34" i="3"/>
  <c r="J34" i="3" s="1"/>
  <c r="A34" i="3"/>
  <c r="J33" i="3"/>
  <c r="I33" i="3"/>
  <c r="A33" i="3"/>
  <c r="I32" i="3"/>
  <c r="J32" i="3" s="1"/>
  <c r="A32" i="3"/>
  <c r="J31" i="3"/>
  <c r="I31" i="3"/>
  <c r="A31" i="3"/>
  <c r="I30" i="3"/>
  <c r="J30" i="3" s="1"/>
  <c r="A30" i="3"/>
  <c r="I29" i="3"/>
  <c r="J29" i="3" s="1"/>
  <c r="A29" i="3"/>
  <c r="I28" i="3"/>
  <c r="J28" i="3" s="1"/>
  <c r="W13" i="2" s="1"/>
  <c r="X13" i="2" s="1"/>
  <c r="A28" i="3"/>
  <c r="J27" i="3"/>
  <c r="I27" i="3"/>
  <c r="A27" i="3"/>
  <c r="I26" i="3"/>
  <c r="J26" i="3" s="1"/>
  <c r="A26" i="3"/>
  <c r="J25" i="3"/>
  <c r="I25" i="3"/>
  <c r="A25" i="3"/>
  <c r="I24" i="3"/>
  <c r="J24" i="3" s="1"/>
  <c r="W7" i="2" s="1"/>
  <c r="X7" i="2" s="1"/>
  <c r="A24" i="3"/>
  <c r="I23" i="3"/>
  <c r="J23" i="3" s="1"/>
  <c r="A23" i="3"/>
  <c r="I22" i="3"/>
  <c r="J22" i="3" s="1"/>
  <c r="A22" i="3"/>
  <c r="J21" i="3"/>
  <c r="I21" i="3"/>
  <c r="A21" i="3"/>
  <c r="I20" i="3"/>
  <c r="J20" i="3" s="1"/>
  <c r="A20" i="3"/>
  <c r="J19" i="3"/>
  <c r="I19" i="3"/>
  <c r="A19" i="3"/>
  <c r="I18" i="3"/>
  <c r="J18" i="3" s="1"/>
  <c r="A18" i="3"/>
  <c r="J17" i="3"/>
  <c r="I17" i="3"/>
  <c r="A17" i="3"/>
  <c r="J16" i="3"/>
  <c r="I16" i="3"/>
  <c r="A16" i="3"/>
  <c r="J15" i="3"/>
  <c r="C22" i="1" s="1"/>
  <c r="I15" i="3"/>
  <c r="A15" i="3"/>
  <c r="I14" i="3"/>
  <c r="J14" i="3" s="1"/>
  <c r="A14" i="3"/>
  <c r="J13" i="3"/>
  <c r="I13" i="3"/>
  <c r="A13" i="3"/>
  <c r="I12" i="3"/>
  <c r="J12" i="3" s="1"/>
  <c r="A12" i="3"/>
  <c r="J11" i="3"/>
  <c r="I11" i="3"/>
  <c r="A11" i="3"/>
  <c r="I10" i="3"/>
  <c r="J10" i="3" s="1"/>
  <c r="A10" i="3"/>
  <c r="I9" i="3"/>
  <c r="J9" i="3" s="1"/>
  <c r="A9" i="3"/>
  <c r="I8" i="3"/>
  <c r="J8" i="3" s="1"/>
  <c r="C16" i="1" s="1"/>
  <c r="A8" i="3"/>
  <c r="J7" i="3"/>
  <c r="I7" i="3"/>
  <c r="A7" i="3"/>
  <c r="I6" i="3"/>
  <c r="I82" i="3" s="1"/>
  <c r="A6" i="3"/>
  <c r="X40" i="2"/>
  <c r="W40" i="2"/>
  <c r="V40" i="2"/>
  <c r="U40" i="2"/>
  <c r="T40" i="2"/>
  <c r="A40" i="2"/>
  <c r="X39" i="2"/>
  <c r="W39" i="2"/>
  <c r="V39" i="2"/>
  <c r="U39" i="2"/>
  <c r="T39" i="2"/>
  <c r="A39" i="2"/>
  <c r="X38" i="2"/>
  <c r="W38" i="2"/>
  <c r="V38" i="2"/>
  <c r="U38" i="2"/>
  <c r="T38" i="2"/>
  <c r="A38" i="2"/>
  <c r="X37" i="2"/>
  <c r="W37" i="2"/>
  <c r="V37" i="2"/>
  <c r="U37" i="2"/>
  <c r="T37" i="2"/>
  <c r="A37" i="2"/>
  <c r="X36" i="2"/>
  <c r="W36" i="2"/>
  <c r="V36" i="2"/>
  <c r="U36" i="2"/>
  <c r="T36" i="2"/>
  <c r="A36" i="2"/>
  <c r="X35" i="2"/>
  <c r="W35" i="2"/>
  <c r="V35" i="2"/>
  <c r="U35" i="2"/>
  <c r="T35" i="2"/>
  <c r="A35" i="2"/>
  <c r="X34" i="2"/>
  <c r="W34" i="2"/>
  <c r="V34" i="2"/>
  <c r="U34" i="2"/>
  <c r="T34" i="2"/>
  <c r="A34" i="2"/>
  <c r="X33" i="2"/>
  <c r="W33" i="2"/>
  <c r="V33" i="2"/>
  <c r="U33" i="2"/>
  <c r="T33" i="2"/>
  <c r="A33" i="2"/>
  <c r="X32" i="2"/>
  <c r="W32" i="2"/>
  <c r="V32" i="2"/>
  <c r="U32" i="2"/>
  <c r="T32" i="2"/>
  <c r="A32" i="2"/>
  <c r="X31" i="2"/>
  <c r="W31" i="2"/>
  <c r="V31" i="2"/>
  <c r="U31" i="2"/>
  <c r="T31" i="2"/>
  <c r="A31" i="2"/>
  <c r="X30" i="2"/>
  <c r="W30" i="2"/>
  <c r="V30" i="2"/>
  <c r="U30" i="2"/>
  <c r="T30" i="2"/>
  <c r="A30" i="2"/>
  <c r="X29" i="2"/>
  <c r="W29" i="2"/>
  <c r="V29" i="2"/>
  <c r="U29" i="2"/>
  <c r="T29" i="2"/>
  <c r="A29" i="2"/>
  <c r="X28" i="2"/>
  <c r="W28" i="2"/>
  <c r="V28" i="2"/>
  <c r="U28" i="2"/>
  <c r="T28" i="2"/>
  <c r="A28" i="2"/>
  <c r="X27" i="2"/>
  <c r="W27" i="2"/>
  <c r="V27" i="2"/>
  <c r="U27" i="2"/>
  <c r="T27" i="2"/>
  <c r="A27" i="2"/>
  <c r="X26" i="2"/>
  <c r="W26" i="2"/>
  <c r="V26" i="2"/>
  <c r="U26" i="2"/>
  <c r="T26" i="2"/>
  <c r="A26" i="2"/>
  <c r="X25" i="2"/>
  <c r="W25" i="2"/>
  <c r="V25" i="2"/>
  <c r="U25" i="2"/>
  <c r="T25" i="2"/>
  <c r="A25" i="2"/>
  <c r="X24" i="2"/>
  <c r="W24" i="2"/>
  <c r="V24" i="2"/>
  <c r="U24" i="2"/>
  <c r="T24" i="2"/>
  <c r="A24" i="2"/>
  <c r="X23" i="2"/>
  <c r="W23" i="2"/>
  <c r="V23" i="2"/>
  <c r="U23" i="2"/>
  <c r="T23" i="2"/>
  <c r="A23" i="2"/>
  <c r="X22" i="2"/>
  <c r="W22" i="2"/>
  <c r="V22" i="2"/>
  <c r="U22" i="2"/>
  <c r="T22" i="2"/>
  <c r="A22" i="2"/>
  <c r="X21" i="2"/>
  <c r="W21" i="2"/>
  <c r="V21" i="2"/>
  <c r="U21" i="2"/>
  <c r="T21" i="2"/>
  <c r="A21" i="2"/>
  <c r="X20" i="2"/>
  <c r="W20" i="2"/>
  <c r="V20" i="2"/>
  <c r="U20" i="2"/>
  <c r="T20" i="2"/>
  <c r="A20" i="2"/>
  <c r="X19" i="2"/>
  <c r="W19" i="2"/>
  <c r="V19" i="2"/>
  <c r="U19" i="2"/>
  <c r="T19" i="2"/>
  <c r="A19" i="2"/>
  <c r="V18" i="2"/>
  <c r="U18" i="2"/>
  <c r="T18" i="2"/>
  <c r="A18" i="2"/>
  <c r="W17" i="2"/>
  <c r="X17" i="2" s="1"/>
  <c r="V17" i="2"/>
  <c r="U17" i="2"/>
  <c r="T17" i="2"/>
  <c r="A17" i="2"/>
  <c r="V16" i="2"/>
  <c r="U16" i="2"/>
  <c r="T16" i="2"/>
  <c r="A16" i="2"/>
  <c r="V15" i="2"/>
  <c r="U15" i="2"/>
  <c r="T15" i="2"/>
  <c r="A15" i="2"/>
  <c r="V14" i="2"/>
  <c r="U14" i="2"/>
  <c r="T14" i="2"/>
  <c r="A14" i="2"/>
  <c r="V13" i="2"/>
  <c r="U13" i="2"/>
  <c r="T13" i="2"/>
  <c r="A13" i="2"/>
  <c r="V12" i="2"/>
  <c r="U12" i="2"/>
  <c r="T12" i="2"/>
  <c r="A12" i="2"/>
  <c r="V11" i="2"/>
  <c r="U11" i="2"/>
  <c r="T11" i="2"/>
  <c r="A11" i="2"/>
  <c r="V10" i="2"/>
  <c r="U10" i="2"/>
  <c r="T10" i="2"/>
  <c r="A10" i="2"/>
  <c r="V9" i="2"/>
  <c r="U9" i="2"/>
  <c r="T9" i="2"/>
  <c r="A9" i="2"/>
  <c r="V8" i="2"/>
  <c r="U8" i="2"/>
  <c r="T8" i="2"/>
  <c r="A8" i="2"/>
  <c r="V7" i="2"/>
  <c r="U7" i="2"/>
  <c r="T7" i="2"/>
  <c r="A7" i="2"/>
  <c r="V6" i="2"/>
  <c r="C31" i="1" s="1"/>
  <c r="U6" i="2"/>
  <c r="T6" i="2"/>
  <c r="A6" i="2"/>
  <c r="B48" i="1"/>
  <c r="B47" i="1"/>
  <c r="C47" i="1" s="1"/>
  <c r="B46" i="1"/>
  <c r="C46" i="1" s="1"/>
  <c r="B45" i="1"/>
  <c r="C45" i="1" s="1"/>
  <c r="B44" i="1"/>
  <c r="C44" i="1" s="1"/>
  <c r="B43" i="1"/>
  <c r="C43" i="1" s="1"/>
  <c r="B42" i="1"/>
  <c r="C42" i="1" s="1"/>
  <c r="B41" i="1"/>
  <c r="C41" i="1" s="1"/>
  <c r="B40" i="1"/>
  <c r="B39" i="1"/>
  <c r="C39" i="1" s="1"/>
  <c r="B38" i="1"/>
  <c r="B37" i="1"/>
  <c r="C37" i="1" s="1"/>
  <c r="B36" i="1"/>
  <c r="C30" i="1"/>
  <c r="C29" i="1"/>
  <c r="K11" i="1"/>
  <c r="H11" i="1"/>
  <c r="K7" i="1"/>
  <c r="H7" i="1"/>
  <c r="E7" i="1"/>
  <c r="B7" i="1"/>
  <c r="C17" i="1" l="1"/>
  <c r="W16" i="2"/>
  <c r="X16" i="2" s="1"/>
  <c r="W18" i="2"/>
  <c r="X18" i="2" s="1"/>
  <c r="C19" i="1"/>
  <c r="C48" i="1"/>
  <c r="C23" i="1"/>
  <c r="W11" i="2"/>
  <c r="X11" i="2" s="1"/>
  <c r="C21" i="1"/>
  <c r="C24" i="1"/>
  <c r="C38" i="1"/>
  <c r="W8" i="2"/>
  <c r="X8" i="2" s="1"/>
  <c r="W10" i="2"/>
  <c r="X10" i="2" s="1"/>
  <c r="W14" i="2"/>
  <c r="X14" i="2" s="1"/>
  <c r="C40" i="1"/>
  <c r="C20" i="1"/>
  <c r="W12" i="2"/>
  <c r="X12" i="2" s="1"/>
  <c r="W9" i="2"/>
  <c r="X9" i="2" s="1"/>
  <c r="C36" i="1"/>
  <c r="W15" i="2"/>
  <c r="X15" i="2" s="1"/>
  <c r="J6" i="3"/>
  <c r="W6" i="2" l="1"/>
  <c r="X6" i="2" s="1"/>
  <c r="C18" i="1"/>
  <c r="C25" i="1" s="1"/>
  <c r="J82" i="3"/>
  <c r="B11" i="1"/>
  <c r="E11" i="1" s="1"/>
</calcChain>
</file>

<file path=xl/sharedStrings.xml><?xml version="1.0" encoding="utf-8"?>
<sst xmlns="http://schemas.openxmlformats.org/spreadsheetml/2006/main" count="447" uniqueCount="239">
  <si>
    <t>FUHRPARKVERWALTUNG</t>
  </si>
  <si>
    <t>Cockpit · Musterbetrieb GmbH · Kennzahlen, Kosten und Fälligkeiten auf einen Blick</t>
  </si>
  <si>
    <t>Auswertungsjahr:</t>
  </si>
  <si>
    <t>Werte aktualisieren sich automatisch aus den Tabellenblättern</t>
  </si>
  <si>
    <t>Fahrzeuge gesamt</t>
  </si>
  <si>
    <t>Aktive Fahrzeuge</t>
  </si>
  <si>
    <t>Gesamtlaufleistung</t>
  </si>
  <si>
    <t>Anschaffungswert gesamt</t>
  </si>
  <si>
    <t>Laufende Kosten (lfd. Jahr)</t>
  </si>
  <si>
    <t>Ø Kosten je Fahrzeug</t>
  </si>
  <si>
    <t>Leasing-/Finanzraten p. M.</t>
  </si>
  <si>
    <t>Überfällige Termine</t>
  </si>
  <si>
    <t xml:space="preserve">  Kosten nach Kategorie · lfd. Jahr</t>
  </si>
  <si>
    <t xml:space="preserve">  Auswertung grafisch</t>
  </si>
  <si>
    <t>Kategorie</t>
  </si>
  <si>
    <t>Brutto</t>
  </si>
  <si>
    <t>Kraftstoff</t>
  </si>
  <si>
    <t>Wartung &amp; Reparatur</t>
  </si>
  <si>
    <t>Versicherung</t>
  </si>
  <si>
    <t>Kfz-Steuer</t>
  </si>
  <si>
    <t>Leasing/Finanzierung</t>
  </si>
  <si>
    <t>Reifen</t>
  </si>
  <si>
    <t>Maut &amp; Parken</t>
  </si>
  <si>
    <t>Reinigung/Pflege</t>
  </si>
  <si>
    <t>Sonstiges</t>
  </si>
  <si>
    <t>Gesamt</t>
  </si>
  <si>
    <t xml:space="preserve">  Fälligkeiten (Wartung &amp; HU)</t>
  </si>
  <si>
    <t>Status</t>
  </si>
  <si>
    <t>Anzahl</t>
  </si>
  <si>
    <t>Überfällig</t>
  </si>
  <si>
    <t>Bald fällig</t>
  </si>
  <si>
    <t>Geplant / OK</t>
  </si>
  <si>
    <t>Erledigt</t>
  </si>
  <si>
    <t xml:space="preserve">  Kosten je Fahrzeug · lfd. Jahr (Brutto)</t>
  </si>
  <si>
    <t>Kennzeichen</t>
  </si>
  <si>
    <t>Legende:  Ampel = Überfällig · Bald fällig · Geplant/OK · Erledigt      |      Blau hinterlegte Zellen sind Eingabefelder – alle übrigen Werte berechnen sich automatisch.</t>
  </si>
  <si>
    <t>Fahrzeugstammdaten · Musterbetrieb GmbH · Wirtschaftsjahr 2026</t>
  </si>
  <si>
    <t>◤ Fahrzeugübersicht</t>
  </si>
  <si>
    <t>Blau hinterlegte Felder = Eingabe · übrige Spalten berechnen sich automatisch</t>
  </si>
  <si>
    <t>Nr.</t>
  </si>
  <si>
    <t>Hersteller</t>
  </si>
  <si>
    <t>Modell</t>
  </si>
  <si>
    <t>Fahrzeugtyp</t>
  </si>
  <si>
    <t>FIN (17-stellig)</t>
  </si>
  <si>
    <t>Erstzulassung</t>
  </si>
  <si>
    <t>Anschaffung</t>
  </si>
  <si>
    <t>Anschaffungs-
wert</t>
  </si>
  <si>
    <t>km-Stand</t>
  </si>
  <si>
    <t>Fahrer / Halter</t>
  </si>
  <si>
    <t>Kostenstelle</t>
  </si>
  <si>
    <t>HU/AU fällig</t>
  </si>
  <si>
    <t>Versicherung fällig</t>
  </si>
  <si>
    <t>Nächster Service</t>
  </si>
  <si>
    <t>Finanzierung</t>
  </si>
  <si>
    <t>Rate / Monat</t>
  </si>
  <si>
    <t>Alter</t>
  </si>
  <si>
    <t>Tage bis HU</t>
  </si>
  <si>
    <t>HU-Status</t>
  </si>
  <si>
    <t>Kosten erfasst</t>
  </si>
  <si>
    <t>Kosten je km</t>
  </si>
  <si>
    <t>OL-AB 123</t>
  </si>
  <si>
    <t>Volkswagen</t>
  </si>
  <si>
    <t>Golf VIII</t>
  </si>
  <si>
    <t>PKW</t>
  </si>
  <si>
    <t>Diesel</t>
  </si>
  <si>
    <t>WVWZZZ1KZAW000123</t>
  </si>
  <si>
    <t>M. Krüger</t>
  </si>
  <si>
    <t>Vertrieb</t>
  </si>
  <si>
    <t>Aktiv</t>
  </si>
  <si>
    <t>Leasing</t>
  </si>
  <si>
    <t>OL-AB 124</t>
  </si>
  <si>
    <t>Passat Variant</t>
  </si>
  <si>
    <t>Kombi</t>
  </si>
  <si>
    <t>WVWZZZ3CZBE000124</t>
  </si>
  <si>
    <t>Pool Vertrieb</t>
  </si>
  <si>
    <t>OL-CD 210</t>
  </si>
  <si>
    <t>Škoda</t>
  </si>
  <si>
    <t>Octavia Combi</t>
  </si>
  <si>
    <t>Benzin</t>
  </si>
  <si>
    <t>TMBJJ7NE1L0000210</t>
  </si>
  <si>
    <t>S. Bauer</t>
  </si>
  <si>
    <t>Verwaltung</t>
  </si>
  <si>
    <t>Kauf</t>
  </si>
  <si>
    <t>OL-CD 211</t>
  </si>
  <si>
    <t>Ford</t>
  </si>
  <si>
    <t>Transit Kastenwagen</t>
  </si>
  <si>
    <t>Transporter</t>
  </si>
  <si>
    <t>WF0XXXTTGXKS00211</t>
  </si>
  <si>
    <t>Pool Service</t>
  </si>
  <si>
    <t>Service/Montage</t>
  </si>
  <si>
    <t>HB-EF 88</t>
  </si>
  <si>
    <t>Mercedes-Benz</t>
  </si>
  <si>
    <t>Sprinter 315</t>
  </si>
  <si>
    <t>WDB9066331S000088</t>
  </si>
  <si>
    <t>T. Neumann</t>
  </si>
  <si>
    <t>HB-EF 89</t>
  </si>
  <si>
    <t>Opel</t>
  </si>
  <si>
    <t>Vivaro</t>
  </si>
  <si>
    <t>W0LF7ACA6L1000089</t>
  </si>
  <si>
    <t>Logistik</t>
  </si>
  <si>
    <t>In Werkstatt</t>
  </si>
  <si>
    <t>OL-GH 45</t>
  </si>
  <si>
    <t>BMW</t>
  </si>
  <si>
    <t>320d Limousine</t>
  </si>
  <si>
    <t>WBA5A11020G000045</t>
  </si>
  <si>
    <t>A. Wolf</t>
  </si>
  <si>
    <t>Geschäftsleitung</t>
  </si>
  <si>
    <t>OL-GH 46</t>
  </si>
  <si>
    <t>Audi</t>
  </si>
  <si>
    <t>A4 Avant</t>
  </si>
  <si>
    <t>WAUZZZ8K0BA000046</t>
  </si>
  <si>
    <t>C. Richter</t>
  </si>
  <si>
    <t>OL-IJ 7</t>
  </si>
  <si>
    <t>Tesla</t>
  </si>
  <si>
    <t>Model 3</t>
  </si>
  <si>
    <t>Elektro</t>
  </si>
  <si>
    <t>LRW3E7EA8KC000007</t>
  </si>
  <si>
    <t>OL-IJ 8</t>
  </si>
  <si>
    <t>Renault</t>
  </si>
  <si>
    <t>Kangoo E-Tech</t>
  </si>
  <si>
    <t>VF1FW0ZBX48000008</t>
  </si>
  <si>
    <t>WHV-KL 33</t>
  </si>
  <si>
    <t>Toyota</t>
  </si>
  <si>
    <t>Corolla TS Hybrid</t>
  </si>
  <si>
    <t>Hybrid</t>
  </si>
  <si>
    <t>SB1KW3JE10E000033</t>
  </si>
  <si>
    <t>J. Schmitt</t>
  </si>
  <si>
    <t>OL-MN 500</t>
  </si>
  <si>
    <t>MAN</t>
  </si>
  <si>
    <t>TGE 3.180</t>
  </si>
  <si>
    <t>LKW</t>
  </si>
  <si>
    <t>WMAN06ZZ0M0000500</t>
  </si>
  <si>
    <t>R. Peters</t>
  </si>
  <si>
    <t>OL-MN 12</t>
  </si>
  <si>
    <t>Fiat</t>
  </si>
  <si>
    <t>Ducato</t>
  </si>
  <si>
    <t>ZFA25000002000012</t>
  </si>
  <si>
    <t>Stillgelegt</t>
  </si>
  <si>
    <t>Kostenerfassung · alle Betriebs- und Unterhaltskosten je Fahrzeug · 2026</t>
  </si>
  <si>
    <t>◤ Kostenbuchungen</t>
  </si>
  <si>
    <t>USt-Betrag und Brutto berechnen sich automatisch</t>
  </si>
  <si>
    <t>Datum</t>
  </si>
  <si>
    <t>Beschreibung</t>
  </si>
  <si>
    <t>Netto</t>
  </si>
  <si>
    <t>USt-Satz</t>
  </si>
  <si>
    <t>USt-Betrag</t>
  </si>
  <si>
    <t>Beleg-Nr.</t>
  </si>
  <si>
    <t>Bemerkung</t>
  </si>
  <si>
    <t>Kfz-Haftpflicht + Kasko (Jahresbeitrag)</t>
  </si>
  <si>
    <t>VS-2026-014</t>
  </si>
  <si>
    <t>Jahrespolice</t>
  </si>
  <si>
    <t>Kraftfahrzeugsteuer 2026</t>
  </si>
  <si>
    <t>HZA-2026-221</t>
  </si>
  <si>
    <t>Hauptzollamt</t>
  </si>
  <si>
    <t>Dieseltankung</t>
  </si>
  <si>
    <t>T-100341</t>
  </si>
  <si>
    <t>Dieseltankung Flottenkarte</t>
  </si>
  <si>
    <t>FK-55021</t>
  </si>
  <si>
    <t>Leasingrate Januar</t>
  </si>
  <si>
    <t>LS-0145</t>
  </si>
  <si>
    <t>Inspektion + Ölwechsel</t>
  </si>
  <si>
    <t>WS-3390</t>
  </si>
  <si>
    <t>Freie Werkstatt</t>
  </si>
  <si>
    <t>Ladestrom Firmenwallbox</t>
  </si>
  <si>
    <t>STR-2026-02</t>
  </si>
  <si>
    <t>Stromkosten</t>
  </si>
  <si>
    <t>T-100512</t>
  </si>
  <si>
    <t>4x Winterreifen inkl. Montage</t>
  </si>
  <si>
    <t>RF-2201</t>
  </si>
  <si>
    <t>LKW-Maut (Toll Collect)</t>
  </si>
  <si>
    <t>TC-778120</t>
  </si>
  <si>
    <t>T-100640</t>
  </si>
  <si>
    <t>Leasingrate März</t>
  </si>
  <si>
    <t>LS-0146</t>
  </si>
  <si>
    <t>T-100781</t>
  </si>
  <si>
    <t>Bremsen vorne + HU-Vorbereitung</t>
  </si>
  <si>
    <t>WS-3455</t>
  </si>
  <si>
    <t>Benzintankung</t>
  </si>
  <si>
    <t>T-100844</t>
  </si>
  <si>
    <t>Fahrzeugaufbereitung</t>
  </si>
  <si>
    <t>RN-0091</t>
  </si>
  <si>
    <t>T-100977</t>
  </si>
  <si>
    <t>Turbolader-Reparatur</t>
  </si>
  <si>
    <t>WS-3510</t>
  </si>
  <si>
    <t>Fachwerkstatt</t>
  </si>
  <si>
    <t>Kfz-Versicherung (Jahresbeitrag)</t>
  </si>
  <si>
    <t>VS-2026-058</t>
  </si>
  <si>
    <t>T-101090</t>
  </si>
  <si>
    <t>HZA-2026-410</t>
  </si>
  <si>
    <t>Ladestrom öffentlich</t>
  </si>
  <si>
    <t>STR-2026-05</t>
  </si>
  <si>
    <t>Inspektion lt. Herstellervorgabe</t>
  </si>
  <si>
    <t>WS-3588</t>
  </si>
  <si>
    <t>T-101233</t>
  </si>
  <si>
    <t>Parkhaus / Anfahrten (Sammelbeleg)</t>
  </si>
  <si>
    <t>PK-0077</t>
  </si>
  <si>
    <t>T-101377</t>
  </si>
  <si>
    <t>4x Sommerreifen inkl. Montage</t>
  </si>
  <si>
    <t>RF-2280</t>
  </si>
  <si>
    <t>Leasingrate Juni</t>
  </si>
  <si>
    <t>LS-0151</t>
  </si>
  <si>
    <t>Klimaservice</t>
  </si>
  <si>
    <t>WS-3640</t>
  </si>
  <si>
    <t>T-101502</t>
  </si>
  <si>
    <t>STR-2026-07</t>
  </si>
  <si>
    <t>FK-55890</t>
  </si>
  <si>
    <t>Ersatzschlüssel + Codierung</t>
  </si>
  <si>
    <t>SO-0203</t>
  </si>
  <si>
    <t>T-101655</t>
  </si>
  <si>
    <t>Reparatur Schiebetür</t>
  </si>
  <si>
    <t>WS-3712</t>
  </si>
  <si>
    <t>T-101780</t>
  </si>
  <si>
    <t>Innen- und Außenreinigung</t>
  </si>
  <si>
    <t>RN-0140</t>
  </si>
  <si>
    <t>Maut Ausland (Dienstfahrt)</t>
  </si>
  <si>
    <t>MT-0311</t>
  </si>
  <si>
    <t>T-101922</t>
  </si>
  <si>
    <t>Finanzierungsrate September</t>
  </si>
  <si>
    <t>FN-0233</t>
  </si>
  <si>
    <t>Summe</t>
  </si>
  <si>
    <t>Wartung &amp; Termine · HU/AU, Inspektionen, Prüfungen und Fristen im Blick</t>
  </si>
  <si>
    <t>◤ Termin- und Wartungsplan</t>
  </si>
  <si>
    <t>Status auf "Erledigt" setzen, sobald eine Maßnahme abgeschlossen ist</t>
  </si>
  <si>
    <t>Maßnahme / Prüfung</t>
  </si>
  <si>
    <t>Fällig am</t>
  </si>
  <si>
    <t>Letzte
Durchführung</t>
  </si>
  <si>
    <t>Intervall</t>
  </si>
  <si>
    <t>Kosten
geplant</t>
  </si>
  <si>
    <t>Tage bis
fällig</t>
  </si>
  <si>
    <t>Ampel</t>
  </si>
  <si>
    <t>Nächster Termin
(berechnet)</t>
  </si>
  <si>
    <t>HU/AU (Hauptuntersuchung)</t>
  </si>
  <si>
    <t>Offen</t>
  </si>
  <si>
    <t>Inspektion (Wartung)</t>
  </si>
  <si>
    <t>Reifenwechsel (Sommer→Winter)</t>
  </si>
  <si>
    <t>Reifenwechsel (Winter→Sommer)</t>
  </si>
  <si>
    <t>UVV-Prüfung (jährlich)</t>
  </si>
  <si>
    <t>Führerscheinkontrolle Fahrer</t>
  </si>
  <si>
    <t>Reparatur / Nachkontrolle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</si>
</sst>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&quot; km&quot;"/>
    <numFmt numFmtId="165" formatCode="#,##0&quot; €&quot;"/>
    <numFmt numFmtId="166" formatCode="dd\.mm\.yyyy"/>
    <numFmt numFmtId="167" formatCode="#,##0.00&quot; €&quot;"/>
    <numFmt numFmtId="168" formatCode="0.0&quot; J.&quot;"/>
    <numFmt numFmtId="169" formatCode="0&quot; T.&quot;;\-0&quot; T.&quot;;\–"/>
    <numFmt numFmtId="170" formatCode="#,##0.000&quot; €&quot;"/>
    <numFmt numFmtId="171" formatCode="0&quot; Mon.&quot;"/>
  </numFmts>
  <fonts count="28" x14ac:knownFonts="1">
    <font>
      <sz val="11"/>
      <color theme="1"/>
      <name val="Calibri"/>
      <family val="2"/>
      <charset val="1"/>
    </font>
    <font>
      <b/>
      <sz val="22"/>
      <color rgb="FFFFFFFF"/>
      <name val="Calibri"/>
      <charset val="1"/>
    </font>
    <font>
      <sz val="10.5"/>
      <color rgb="FFFFFFFF"/>
      <name val="Calibri"/>
      <charset val="1"/>
    </font>
    <font>
      <b/>
      <sz val="10"/>
      <color rgb="FF2B333C"/>
      <name val="Calibri"/>
      <charset val="1"/>
    </font>
    <font>
      <b/>
      <sz val="11"/>
      <color rgb="FF1F2937"/>
      <name val="Calibri"/>
      <charset val="1"/>
    </font>
    <font>
      <i/>
      <sz val="9"/>
      <color rgb="FF5B6673"/>
      <name val="Calibri"/>
      <charset val="1"/>
    </font>
    <font>
      <b/>
      <sz val="19"/>
      <color rgb="FF2B333C"/>
      <name val="Calibri"/>
      <charset val="1"/>
    </font>
    <font>
      <sz val="9"/>
      <color rgb="FF5B6673"/>
      <name val="Calibri"/>
      <charset val="1"/>
    </font>
    <font>
      <b/>
      <sz val="19"/>
      <color rgb="FFB23A2E"/>
      <name val="Calibri"/>
      <charset val="1"/>
    </font>
    <font>
      <b/>
      <sz val="11"/>
      <color rgb="FFFFFFFF"/>
      <name val="Calibri"/>
      <charset val="1"/>
    </font>
    <font>
      <b/>
      <sz val="9"/>
      <color rgb="FFFFFFFF"/>
      <name val="Calibri"/>
      <charset val="1"/>
    </font>
    <font>
      <sz val="9.5"/>
      <color rgb="FF1F2937"/>
      <name val="Calibri"/>
      <charset val="1"/>
    </font>
    <font>
      <b/>
      <sz val="9.5"/>
      <color rgb="FFFFFFFF"/>
      <name val="Calibri"/>
      <charset val="1"/>
    </font>
    <font>
      <b/>
      <sz val="9.5"/>
      <color rgb="FF9B2F24"/>
      <name val="Calibri"/>
      <charset val="1"/>
    </font>
    <font>
      <b/>
      <sz val="10"/>
      <color rgb="FF9B2F24"/>
      <name val="Calibri"/>
      <charset val="1"/>
    </font>
    <font>
      <b/>
      <sz val="9.5"/>
      <color rgb="FF8A6316"/>
      <name val="Calibri"/>
      <charset val="1"/>
    </font>
    <font>
      <b/>
      <sz val="10"/>
      <color rgb="FF8A6316"/>
      <name val="Calibri"/>
      <charset val="1"/>
    </font>
    <font>
      <b/>
      <sz val="9.5"/>
      <color rgb="FF3A4A5C"/>
      <name val="Calibri"/>
      <charset val="1"/>
    </font>
    <font>
      <b/>
      <sz val="10"/>
      <color rgb="FF3A4A5C"/>
      <name val="Calibri"/>
      <charset val="1"/>
    </font>
    <font>
      <b/>
      <sz val="9.5"/>
      <color rgb="FF1E6B3A"/>
      <name val="Calibri"/>
      <charset val="1"/>
    </font>
    <font>
      <b/>
      <sz val="10"/>
      <color rgb="FF1E6B3A"/>
      <name val="Calibri"/>
      <charset val="1"/>
    </font>
    <font>
      <b/>
      <sz val="20"/>
      <color rgb="FFFFFFFF"/>
      <name val="Calibri"/>
      <charset val="1"/>
    </font>
    <font>
      <b/>
      <sz val="11"/>
      <color rgb="FF2B333C"/>
      <name val="Calibri"/>
      <charset val="1"/>
    </font>
    <font>
      <b/>
      <sz val="9.5"/>
      <color rgb="FF1F2937"/>
      <name val="Calibri"/>
      <charset val="1"/>
    </font>
    <font>
      <sz val="8"/>
      <color rgb="FF5B6673"/>
      <name val="Calibri"/>
      <charset val="1"/>
    </font>
    <font>
      <b/>
      <sz val="9"/>
      <color rgb="FF1F2937"/>
      <name val="Calibri"/>
      <charset val="1"/>
    </font>
    <font>
      <sz val="8.5"/>
      <color rgb="FF5B6673"/>
      <name val="Calibri"/>
      <charset val="1"/>
    </font>
    <font>
      <b/>
      <sz val="10"/>
      <color rgb="FFFFFFFF"/>
      <name val="Calibri"/>
      <charset val="1"/>
    </font>
  </fonts>
  <fills count="13">
    <fill>
      <patternFill patternType="none"/>
    </fill>
    <fill>
      <patternFill patternType="gray125"/>
    </fill>
    <fill>
      <patternFill patternType="solid">
        <fgColor rgb="FF2B333C"/>
        <bgColor rgb="FF1F2937"/>
      </patternFill>
    </fill>
    <fill>
      <patternFill patternType="solid">
        <fgColor rgb="FF4A5563"/>
        <bgColor rgb="FF3A4A5C"/>
      </patternFill>
    </fill>
    <fill>
      <patternFill patternType="solid">
        <fgColor rgb="FFB23A2E"/>
        <bgColor rgb="FF9B2F24"/>
      </patternFill>
    </fill>
    <fill>
      <patternFill patternType="solid">
        <fgColor rgb="FFEAF1F6"/>
        <bgColor rgb="FFF2F3F5"/>
      </patternFill>
    </fill>
    <fill>
      <patternFill patternType="solid">
        <fgColor rgb="FFFFFFFF"/>
        <bgColor rgb="FFF9F9F9"/>
      </patternFill>
    </fill>
    <fill>
      <patternFill patternType="solid">
        <fgColor rgb="FF37424E"/>
        <bgColor rgb="FF3A4A5C"/>
      </patternFill>
    </fill>
    <fill>
      <patternFill patternType="solid">
        <fgColor rgb="FFF6DAD6"/>
        <bgColor rgb="FFE7E9EC"/>
      </patternFill>
    </fill>
    <fill>
      <patternFill patternType="solid">
        <fgColor rgb="FFFBF0D3"/>
        <bgColor rgb="FFF2F3F5"/>
      </patternFill>
    </fill>
    <fill>
      <patternFill patternType="solid">
        <fgColor rgb="FFE4EAF0"/>
        <bgColor rgb="FFE7E9EC"/>
      </patternFill>
    </fill>
    <fill>
      <patternFill patternType="solid">
        <fgColor rgb="FFDCEFE1"/>
        <bgColor rgb="FFE4EAF0"/>
      </patternFill>
    </fill>
    <fill>
      <patternFill patternType="solid">
        <fgColor rgb="FFF2F3F5"/>
        <bgColor rgb="FFEAF1F6"/>
      </patternFill>
    </fill>
  </fills>
  <borders count="6">
    <border>
      <left/>
      <right/>
      <top/>
      <bottom/>
      <diagonal/>
    </border>
    <border>
      <left style="thin">
        <color rgb="FFAEB6BF"/>
      </left>
      <right style="thin">
        <color rgb="FFAEB6BF"/>
      </right>
      <top style="thin">
        <color rgb="FFAEB6BF"/>
      </top>
      <bottom style="thin">
        <color rgb="FFAEB6BF"/>
      </bottom>
      <diagonal/>
    </border>
    <border>
      <left style="thin">
        <color rgb="FFD5DAE0"/>
      </left>
      <right style="thin">
        <color rgb="FFD5DAE0"/>
      </right>
      <top style="thin">
        <color rgb="FFD5DAE0"/>
      </top>
      <bottom/>
      <diagonal/>
    </border>
    <border>
      <left style="thin">
        <color rgb="FFD5DAE0"/>
      </left>
      <right style="thin">
        <color rgb="FFD5DAE0"/>
      </right>
      <top/>
      <bottom style="thin">
        <color rgb="FFD5DAE0"/>
      </bottom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  <border>
      <left style="thin">
        <color rgb="FF2B333C"/>
      </left>
      <right style="thin">
        <color rgb="FF2B333C"/>
      </right>
      <top style="thin">
        <color rgb="FF2B333C"/>
      </top>
      <bottom style="thin">
        <color rgb="FF2B333C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1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7" borderId="0" xfId="0" applyFont="1" applyFill="1" applyAlignment="1">
      <alignment horizontal="left" vertical="center"/>
    </xf>
    <xf numFmtId="3" fontId="8" fillId="6" borderId="2" xfId="0" applyNumberFormat="1" applyFont="1" applyFill="1" applyBorder="1" applyAlignment="1">
      <alignment horizontal="center" vertical="center"/>
    </xf>
    <xf numFmtId="165" fontId="8" fillId="6" borderId="2" xfId="0" applyNumberFormat="1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top"/>
    </xf>
    <xf numFmtId="165" fontId="6" fillId="6" borderId="2" xfId="0" applyNumberFormat="1" applyFont="1" applyFill="1" applyBorder="1" applyAlignment="1">
      <alignment horizontal="center" vertical="center"/>
    </xf>
    <xf numFmtId="164" fontId="6" fillId="6" borderId="2" xfId="0" applyNumberFormat="1" applyFont="1" applyFill="1" applyBorder="1" applyAlignment="1">
      <alignment horizontal="center" vertical="center"/>
    </xf>
    <xf numFmtId="3" fontId="6" fillId="6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4" borderId="0" xfId="0" applyFill="1"/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left" vertical="center"/>
    </xf>
    <xf numFmtId="165" fontId="11" fillId="6" borderId="4" xfId="0" applyNumberFormat="1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left" vertical="center"/>
    </xf>
    <xf numFmtId="165" fontId="12" fillId="2" borderId="5" xfId="0" applyNumberFormat="1" applyFont="1" applyFill="1" applyBorder="1" applyAlignment="1">
      <alignment horizontal="right" vertical="center"/>
    </xf>
    <xf numFmtId="0" fontId="13" fillId="8" borderId="4" xfId="0" applyFont="1" applyFill="1" applyBorder="1" applyAlignment="1">
      <alignment horizontal="left" vertical="center"/>
    </xf>
    <xf numFmtId="0" fontId="14" fillId="8" borderId="4" xfId="0" applyFont="1" applyFill="1" applyBorder="1" applyAlignment="1">
      <alignment horizontal="center" vertical="center"/>
    </xf>
    <xf numFmtId="0" fontId="15" fillId="9" borderId="4" xfId="0" applyFont="1" applyFill="1" applyBorder="1" applyAlignment="1">
      <alignment horizontal="left" vertical="center"/>
    </xf>
    <xf numFmtId="0" fontId="16" fillId="9" borderId="4" xfId="0" applyFont="1" applyFill="1" applyBorder="1" applyAlignment="1">
      <alignment horizontal="center" vertical="center"/>
    </xf>
    <xf numFmtId="0" fontId="17" fillId="10" borderId="4" xfId="0" applyFont="1" applyFill="1" applyBorder="1" applyAlignment="1">
      <alignment horizontal="left" vertical="center"/>
    </xf>
    <xf numFmtId="0" fontId="18" fillId="10" borderId="4" xfId="0" applyFont="1" applyFill="1" applyBorder="1" applyAlignment="1">
      <alignment horizontal="center" vertical="center"/>
    </xf>
    <xf numFmtId="0" fontId="19" fillId="11" borderId="4" xfId="0" applyFont="1" applyFill="1" applyBorder="1" applyAlignment="1">
      <alignment horizontal="left" vertical="center"/>
    </xf>
    <xf numFmtId="0" fontId="20" fillId="11" borderId="4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left" vertical="center"/>
    </xf>
    <xf numFmtId="0" fontId="11" fillId="5" borderId="4" xfId="0" applyFont="1" applyFill="1" applyBorder="1" applyAlignment="1">
      <alignment horizontal="left" vertical="center"/>
    </xf>
    <xf numFmtId="0" fontId="11" fillId="5" borderId="4" xfId="0" applyFont="1" applyFill="1" applyBorder="1" applyAlignment="1">
      <alignment horizontal="center" vertical="center"/>
    </xf>
    <xf numFmtId="0" fontId="24" fillId="5" borderId="4" xfId="0" applyFont="1" applyFill="1" applyBorder="1" applyAlignment="1">
      <alignment horizontal="left" vertical="center"/>
    </xf>
    <xf numFmtId="166" fontId="11" fillId="5" borderId="4" xfId="0" applyNumberFormat="1" applyFont="1" applyFill="1" applyBorder="1" applyAlignment="1">
      <alignment horizontal="center" vertical="center"/>
    </xf>
    <xf numFmtId="165" fontId="11" fillId="5" borderId="4" xfId="0" applyNumberFormat="1" applyFont="1" applyFill="1" applyBorder="1" applyAlignment="1">
      <alignment horizontal="center" vertical="center"/>
    </xf>
    <xf numFmtId="164" fontId="11" fillId="5" borderId="4" xfId="0" applyNumberFormat="1" applyFont="1" applyFill="1" applyBorder="1" applyAlignment="1">
      <alignment horizontal="center" vertical="center"/>
    </xf>
    <xf numFmtId="167" fontId="11" fillId="5" borderId="4" xfId="0" applyNumberFormat="1" applyFont="1" applyFill="1" applyBorder="1" applyAlignment="1">
      <alignment horizontal="center" vertical="center"/>
    </xf>
    <xf numFmtId="168" fontId="11" fillId="12" borderId="4" xfId="0" applyNumberFormat="1" applyFont="1" applyFill="1" applyBorder="1" applyAlignment="1">
      <alignment horizontal="center" vertical="center"/>
    </xf>
    <xf numFmtId="169" fontId="11" fillId="12" borderId="4" xfId="0" applyNumberFormat="1" applyFont="1" applyFill="1" applyBorder="1" applyAlignment="1">
      <alignment horizontal="center" vertical="center"/>
    </xf>
    <xf numFmtId="0" fontId="25" fillId="12" borderId="4" xfId="0" applyFont="1" applyFill="1" applyBorder="1" applyAlignment="1">
      <alignment horizontal="center" vertical="center"/>
    </xf>
    <xf numFmtId="165" fontId="11" fillId="12" borderId="4" xfId="0" applyNumberFormat="1" applyFont="1" applyFill="1" applyBorder="1" applyAlignment="1">
      <alignment horizontal="center" vertical="center"/>
    </xf>
    <xf numFmtId="170" fontId="11" fillId="12" borderId="4" xfId="0" applyNumberFormat="1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center" vertical="center"/>
    </xf>
    <xf numFmtId="3" fontId="11" fillId="5" borderId="4" xfId="0" applyNumberFormat="1" applyFont="1" applyFill="1" applyBorder="1" applyAlignment="1">
      <alignment horizontal="center" vertical="center"/>
    </xf>
    <xf numFmtId="9" fontId="11" fillId="5" borderId="4" xfId="0" applyNumberFormat="1" applyFont="1" applyFill="1" applyBorder="1" applyAlignment="1">
      <alignment horizontal="center" vertical="center"/>
    </xf>
    <xf numFmtId="167" fontId="11" fillId="12" borderId="4" xfId="0" applyNumberFormat="1" applyFont="1" applyFill="1" applyBorder="1" applyAlignment="1">
      <alignment horizontal="center" vertical="center"/>
    </xf>
    <xf numFmtId="167" fontId="23" fillId="12" borderId="4" xfId="0" applyNumberFormat="1" applyFont="1" applyFill="1" applyBorder="1" applyAlignment="1">
      <alignment horizontal="center" vertical="center"/>
    </xf>
    <xf numFmtId="0" fontId="26" fillId="5" borderId="4" xfId="0" applyFont="1" applyFill="1" applyBorder="1" applyAlignment="1">
      <alignment horizontal="left" vertical="center"/>
    </xf>
    <xf numFmtId="0" fontId="27" fillId="2" borderId="5" xfId="0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left" vertical="center"/>
    </xf>
    <xf numFmtId="167" fontId="27" fillId="2" borderId="5" xfId="0" applyNumberFormat="1" applyFont="1" applyFill="1" applyBorder="1" applyAlignment="1">
      <alignment horizontal="center" vertical="center"/>
    </xf>
    <xf numFmtId="171" fontId="11" fillId="5" borderId="4" xfId="0" applyNumberFormat="1" applyFont="1" applyFill="1" applyBorder="1" applyAlignment="1">
      <alignment horizontal="center" vertical="center"/>
    </xf>
    <xf numFmtId="166" fontId="11" fillId="12" borderId="4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</cellXfs>
  <cellStyles count="1">
    <cellStyle name="Standard" xfId="0" builtinId="0"/>
  </cellStyles>
  <dxfs count="15">
    <dxf>
      <font>
        <b/>
        <sz val="9"/>
        <color rgb="FF1E6B3A"/>
        <name val="Calibri"/>
        <charset val="1"/>
      </font>
      <fill>
        <patternFill>
          <bgColor rgb="FFDCEFE1"/>
        </patternFill>
      </fill>
    </dxf>
    <dxf>
      <font>
        <b/>
        <sz val="9"/>
        <color rgb="FF3A4A5C"/>
        <name val="Calibri"/>
        <charset val="1"/>
      </font>
      <fill>
        <patternFill>
          <bgColor rgb="FFE4EAF0"/>
        </patternFill>
      </fill>
    </dxf>
    <dxf>
      <font>
        <b/>
        <sz val="9"/>
        <color rgb="FF8A6316"/>
        <name val="Calibri"/>
        <charset val="1"/>
      </font>
      <fill>
        <patternFill>
          <bgColor rgb="FFFBF0D3"/>
        </patternFill>
      </fill>
    </dxf>
    <dxf>
      <font>
        <b/>
        <sz val="9"/>
        <color rgb="FF9B2F24"/>
        <name val="Calibri"/>
        <charset val="1"/>
      </font>
      <fill>
        <patternFill>
          <bgColor rgb="FFF6DAD6"/>
        </patternFill>
      </fill>
    </dxf>
    <dxf>
      <font>
        <b/>
        <sz val="9"/>
        <color rgb="FF9B2F24"/>
        <name val="Calibri"/>
        <charset val="1"/>
      </font>
    </dxf>
    <dxf>
      <font>
        <b/>
        <sz val="9"/>
        <color rgb="FF5B6673"/>
        <name val="Calibri"/>
        <charset val="1"/>
      </font>
      <fill>
        <patternFill>
          <bgColor rgb="FFE7E9EC"/>
        </patternFill>
      </fill>
    </dxf>
    <dxf>
      <font>
        <b/>
        <sz val="9"/>
        <color rgb="FF1E6B3A"/>
        <name val="Calibri"/>
        <charset val="1"/>
      </font>
      <fill>
        <patternFill>
          <bgColor rgb="FFDCEFE1"/>
        </patternFill>
      </fill>
    </dxf>
    <dxf>
      <font>
        <b/>
        <sz val="9"/>
        <color rgb="FF1E6B3A"/>
        <name val="Calibri"/>
        <charset val="1"/>
      </font>
      <fill>
        <patternFill>
          <bgColor rgb="FFDCEFE1"/>
        </patternFill>
      </fill>
    </dxf>
    <dxf>
      <font>
        <b/>
        <sz val="9"/>
        <color rgb="FF8A6316"/>
        <name val="Calibri"/>
        <charset val="1"/>
      </font>
      <fill>
        <patternFill>
          <bgColor rgb="FFFBF0D3"/>
        </patternFill>
      </fill>
    </dxf>
    <dxf>
      <font>
        <b/>
        <sz val="9"/>
        <color rgb="FF9B2F24"/>
        <name val="Calibri"/>
        <charset val="1"/>
      </font>
      <fill>
        <patternFill>
          <bgColor rgb="FFF6DAD6"/>
        </patternFill>
      </fill>
    </dxf>
    <dxf>
      <font>
        <b/>
        <sz val="9"/>
        <color rgb="FF9B2F24"/>
        <name val="Calibri"/>
        <charset val="1"/>
      </font>
    </dxf>
    <dxf>
      <font>
        <b/>
        <sz val="9"/>
        <color rgb="FF9B2F24"/>
        <name val="Calibri"/>
        <charset val="1"/>
      </font>
      <fill>
        <patternFill>
          <bgColor rgb="FFF6DAD6"/>
        </patternFill>
      </fill>
    </dxf>
    <dxf>
      <font>
        <b/>
        <sz val="9"/>
        <color rgb="FF5B6673"/>
        <name val="Calibri"/>
        <charset val="1"/>
      </font>
      <fill>
        <patternFill>
          <bgColor rgb="FFE7E9EC"/>
        </patternFill>
      </fill>
    </dxf>
    <dxf>
      <font>
        <b/>
        <sz val="9"/>
        <color rgb="FF8A6316"/>
        <name val="Calibri"/>
        <charset val="1"/>
      </font>
      <fill>
        <patternFill>
          <bgColor rgb="FFFBF0D3"/>
        </patternFill>
      </fill>
    </dxf>
    <dxf>
      <font>
        <b/>
        <sz val="9"/>
        <color rgb="FF1E6B3A"/>
        <name val="Calibri"/>
        <charset val="1"/>
      </font>
      <fill>
        <patternFill>
          <bgColor rgb="FFDCEFE1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3A"/>
      <rgbColor rgb="FF000080"/>
      <rgbColor rgb="FF8A6316"/>
      <rgbColor rgb="FF800080"/>
      <rgbColor rgb="FF008080"/>
      <rgbColor rgb="FFAEB6BF"/>
      <rgbColor rgb="FF878787"/>
      <rgbColor rgb="FF9999FF"/>
      <rgbColor rgb="FFB23A2E"/>
      <rgbColor rgb="FFFBF0D3"/>
      <rgbColor rgb="FFEAF1F6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AF0"/>
      <rgbColor rgb="FFDCEFE1"/>
      <rgbColor rgb="FFF9F9F9"/>
      <rgbColor rgb="FFD9D9D9"/>
      <rgbColor rgb="FFF2F3F5"/>
      <rgbColor rgb="FFE7E9EC"/>
      <rgbColor rgb="FFF6DAD6"/>
      <rgbColor rgb="FF3366FF"/>
      <rgbColor rgb="FF33CCCC"/>
      <rgbColor rgb="FF99CC00"/>
      <rgbColor rgb="FFFFCC00"/>
      <rgbColor rgb="FFFF9900"/>
      <rgbColor rgb="FFFF6600"/>
      <rgbColor rgb="FF5B6673"/>
      <rgbColor rgb="FF969696"/>
      <rgbColor rgb="FF37424E"/>
      <rgbColor rgb="FF339966"/>
      <rgbColor rgb="FF003300"/>
      <rgbColor rgb="FF1F2937"/>
      <rgbColor rgb="FF9B2F24"/>
      <rgbColor rgb="FF4A5563"/>
      <rgbColor rgb="FF3A4A5C"/>
      <rgbColor rgb="FF2B33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Kosten nach Kategorie · lfd. Jahr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37424E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Dashboard!$B$16:$B$24</c:f>
              <c:strCache>
                <c:ptCount val="9"/>
                <c:pt idx="0">
                  <c:v>Kraftstoff</c:v>
                </c:pt>
                <c:pt idx="1">
                  <c:v>Wartung &amp; Reparatur</c:v>
                </c:pt>
                <c:pt idx="2">
                  <c:v>Versicherung</c:v>
                </c:pt>
                <c:pt idx="3">
                  <c:v>Kfz-Steuer</c:v>
                </c:pt>
                <c:pt idx="4">
                  <c:v>Leasing/Finanzierung</c:v>
                </c:pt>
                <c:pt idx="5">
                  <c:v>Reifen</c:v>
                </c:pt>
                <c:pt idx="6">
                  <c:v>Maut &amp; Parken</c:v>
                </c:pt>
                <c:pt idx="7">
                  <c:v>Reinigung/Pflege</c:v>
                </c:pt>
                <c:pt idx="8">
                  <c:v>Sonstiges</c:v>
                </c:pt>
              </c:strCache>
            </c:strRef>
          </c:cat>
          <c:val>
            <c:numRef>
              <c:f>Dashboard!$C$16:$C$24</c:f>
              <c:numCache>
                <c:formatCode>#,##0" €"</c:formatCode>
                <c:ptCount val="9"/>
                <c:pt idx="0">
                  <c:v>1874.14</c:v>
                </c:pt>
                <c:pt idx="1">
                  <c:v>4091.3399999999997</c:v>
                </c:pt>
                <c:pt idx="2">
                  <c:v>2114</c:v>
                </c:pt>
                <c:pt idx="3">
                  <c:v>528</c:v>
                </c:pt>
                <c:pt idx="4">
                  <c:v>2081.31</c:v>
                </c:pt>
                <c:pt idx="5">
                  <c:v>1589.84</c:v>
                </c:pt>
                <c:pt idx="6">
                  <c:v>387.16999999999996</c:v>
                </c:pt>
                <c:pt idx="7">
                  <c:v>152.32</c:v>
                </c:pt>
                <c:pt idx="8">
                  <c:v>199.92000000000002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4F-4FC5-9624-C120D61B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440248"/>
        <c:axId val="34607545"/>
      </c:barChart>
      <c:catAx>
        <c:axId val="71440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4607545"/>
        <c:crosses val="autoZero"/>
        <c:auto val="1"/>
        <c:lblAlgn val="ctr"/>
        <c:lblOffset val="100"/>
        <c:noMultiLvlLbl val="0"/>
      </c:catAx>
      <c:valAx>
        <c:axId val="34607545"/>
        <c:scaling>
          <c:orientation val="minMax"/>
        </c:scaling>
        <c:delete val="0"/>
        <c:axPos val="l"/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144024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Kosten je Fahrzeug · lfd. Jahr (Brutto)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B23A2E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Dashboard!$B$36:$B$48</c:f>
              <c:strCache>
                <c:ptCount val="13"/>
                <c:pt idx="0">
                  <c:v>OL-AB 123</c:v>
                </c:pt>
                <c:pt idx="1">
                  <c:v>OL-AB 124</c:v>
                </c:pt>
                <c:pt idx="2">
                  <c:v>OL-CD 210</c:v>
                </c:pt>
                <c:pt idx="3">
                  <c:v>OL-CD 211</c:v>
                </c:pt>
                <c:pt idx="4">
                  <c:v>HB-EF 88</c:v>
                </c:pt>
                <c:pt idx="5">
                  <c:v>HB-EF 89</c:v>
                </c:pt>
                <c:pt idx="6">
                  <c:v>OL-GH 45</c:v>
                </c:pt>
                <c:pt idx="7">
                  <c:v>OL-GH 46</c:v>
                </c:pt>
                <c:pt idx="8">
                  <c:v>OL-IJ 7</c:v>
                </c:pt>
                <c:pt idx="9">
                  <c:v>OL-IJ 8</c:v>
                </c:pt>
                <c:pt idx="10">
                  <c:v>WHV-KL 33</c:v>
                </c:pt>
                <c:pt idx="11">
                  <c:v>OL-MN 500</c:v>
                </c:pt>
                <c:pt idx="12">
                  <c:v>OL-MN 12</c:v>
                </c:pt>
              </c:strCache>
            </c:strRef>
          </c:cat>
          <c:val>
            <c:numRef>
              <c:f>Dashboard!$C$36:$C$48</c:f>
              <c:numCache>
                <c:formatCode>#,##0" €"</c:formatCode>
                <c:ptCount val="13"/>
                <c:pt idx="0">
                  <c:v>1698.13</c:v>
                </c:pt>
                <c:pt idx="1">
                  <c:v>1211.98</c:v>
                </c:pt>
                <c:pt idx="2">
                  <c:v>288.58000000000004</c:v>
                </c:pt>
                <c:pt idx="3">
                  <c:v>1748.15</c:v>
                </c:pt>
                <c:pt idx="4">
                  <c:v>1882.82</c:v>
                </c:pt>
                <c:pt idx="5">
                  <c:v>952.71999999999991</c:v>
                </c:pt>
                <c:pt idx="6">
                  <c:v>1353.4999999999998</c:v>
                </c:pt>
                <c:pt idx="7">
                  <c:v>805.63000000000011</c:v>
                </c:pt>
                <c:pt idx="8">
                  <c:v>147.44</c:v>
                </c:pt>
                <c:pt idx="9">
                  <c:v>128.4</c:v>
                </c:pt>
                <c:pt idx="10">
                  <c:v>234.79</c:v>
                </c:pt>
                <c:pt idx="11">
                  <c:v>1899.78</c:v>
                </c:pt>
                <c:pt idx="12">
                  <c:v>666.12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63-4CF3-8C5F-F4CF8C3C3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680229"/>
        <c:axId val="25724222"/>
      </c:barChart>
      <c:catAx>
        <c:axId val="30680229"/>
        <c:scaling>
          <c:orientation val="minMax"/>
        </c:scaling>
        <c:delete val="0"/>
        <c:axPos val="l"/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5724222"/>
        <c:crosses val="autoZero"/>
        <c:auto val="1"/>
        <c:lblAlgn val="ctr"/>
        <c:lblOffset val="100"/>
        <c:noMultiLvlLbl val="0"/>
      </c:catAx>
      <c:valAx>
        <c:axId val="25724222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068022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14</xdr:row>
      <xdr:rowOff>9525</xdr:rowOff>
    </xdr:from>
    <xdr:to>
      <xdr:col>12</xdr:col>
      <xdr:colOff>762000</xdr:colOff>
      <xdr:row>26</xdr:row>
      <xdr:rowOff>99165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26</xdr:row>
      <xdr:rowOff>123825</xdr:rowOff>
    </xdr:from>
    <xdr:to>
      <xdr:col>12</xdr:col>
      <xdr:colOff>762000</xdr:colOff>
      <xdr:row>48</xdr:row>
      <xdr:rowOff>37080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56"/>
  <sheetViews>
    <sheetView showGridLines="0" tabSelected="1" zoomScaleNormal="100" workbookViewId="0">
      <selection activeCell="S39" sqref="S39"/>
    </sheetView>
  </sheetViews>
  <sheetFormatPr baseColWidth="10" defaultColWidth="8.7109375" defaultRowHeight="15" x14ac:dyDescent="0.25"/>
  <cols>
    <col min="1" max="1" width="2" customWidth="1"/>
    <col min="2" max="2" width="17" customWidth="1"/>
    <col min="3" max="3" width="12" customWidth="1"/>
    <col min="4" max="13" width="11.5703125" customWidth="1"/>
  </cols>
  <sheetData>
    <row r="1" spans="2:13" ht="39.75" customHeight="1" x14ac:dyDescent="0.25">
      <c r="B1" s="14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2:13" ht="19.5" customHeight="1" x14ac:dyDescent="0.25">
      <c r="B2" s="13" t="s">
        <v>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2:13" ht="3" customHeight="1" x14ac:dyDescent="0.2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13" ht="18" customHeight="1" x14ac:dyDescent="0.25">
      <c r="B4" s="11" t="s">
        <v>2</v>
      </c>
      <c r="C4" s="11"/>
      <c r="D4" s="15">
        <v>2026</v>
      </c>
      <c r="F4" s="10" t="s">
        <v>3</v>
      </c>
      <c r="G4" s="10"/>
      <c r="H4" s="10"/>
      <c r="I4" s="10"/>
      <c r="J4" s="10"/>
      <c r="K4" s="10"/>
      <c r="L4" s="10"/>
      <c r="M4" s="10"/>
    </row>
    <row r="6" spans="2:13" ht="3" customHeight="1" x14ac:dyDescent="0.25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2:13" ht="30" customHeight="1" x14ac:dyDescent="0.25">
      <c r="B7" s="9">
        <f>COUNTIF(Fahrzeuge!$B$6:$B$40,"?*")</f>
        <v>13</v>
      </c>
      <c r="C7" s="9"/>
      <c r="D7" s="9"/>
      <c r="E7" s="9">
        <f>COUNTIF(Fahrzeuge!$N$6:$N$40,"Aktiv")</f>
        <v>11</v>
      </c>
      <c r="F7" s="9"/>
      <c r="G7" s="9"/>
      <c r="H7" s="8">
        <f>SUM(Fahrzeuge!$K$6:$K$40)</f>
        <v>1205830</v>
      </c>
      <c r="I7" s="8"/>
      <c r="J7" s="8"/>
      <c r="K7" s="7">
        <f>SUM(Fahrzeuge!$J$6:$J$40)</f>
        <v>489900</v>
      </c>
      <c r="L7" s="7"/>
      <c r="M7" s="7"/>
    </row>
    <row r="8" spans="2:13" ht="15.75" customHeight="1" x14ac:dyDescent="0.25">
      <c r="B8" s="6" t="s">
        <v>4</v>
      </c>
      <c r="C8" s="6"/>
      <c r="D8" s="6"/>
      <c r="E8" s="6" t="s">
        <v>5</v>
      </c>
      <c r="F8" s="6"/>
      <c r="G8" s="6"/>
      <c r="H8" s="6" t="s">
        <v>6</v>
      </c>
      <c r="I8" s="6"/>
      <c r="J8" s="6"/>
      <c r="K8" s="6" t="s">
        <v>7</v>
      </c>
      <c r="L8" s="6"/>
      <c r="M8" s="6"/>
    </row>
    <row r="10" spans="2:13" ht="3" customHeight="1" x14ac:dyDescent="0.25"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2:13" ht="30" customHeight="1" x14ac:dyDescent="0.25">
      <c r="B11" s="5">
        <f>SUMIFS(Kostenerfassung!$J$6:$J$80,Kostenerfassung!$B$6:$B$80,"&gt;="&amp;DATE($D$4,1,1),Kostenerfassung!$B$6:$B$80,"&lt;="&amp;DATE($D$4,12,31))</f>
        <v>13018.04</v>
      </c>
      <c r="C11" s="5"/>
      <c r="D11" s="5"/>
      <c r="E11" s="7">
        <f>IF(B7=0,0,B11/B7)</f>
        <v>1001.3876923076924</v>
      </c>
      <c r="F11" s="7"/>
      <c r="G11" s="7"/>
      <c r="H11" s="7">
        <f>SUM(Fahrzeuge!$S$6:$S$40)</f>
        <v>3533</v>
      </c>
      <c r="I11" s="7"/>
      <c r="J11" s="7"/>
      <c r="K11" s="4">
        <f ca="1">COUNTIF('Wartung &amp; Termine'!$J$6:$J$40,"Überfällig")+COUNTIF(Fahrzeuge!$V$6:$V$40,"Überfällig")</f>
        <v>4</v>
      </c>
      <c r="L11" s="4"/>
      <c r="M11" s="4"/>
    </row>
    <row r="12" spans="2:13" ht="15.75" customHeight="1" x14ac:dyDescent="0.25">
      <c r="B12" s="6" t="s">
        <v>8</v>
      </c>
      <c r="C12" s="6"/>
      <c r="D12" s="6"/>
      <c r="E12" s="6" t="s">
        <v>9</v>
      </c>
      <c r="F12" s="6"/>
      <c r="G12" s="6"/>
      <c r="H12" s="6" t="s">
        <v>10</v>
      </c>
      <c r="I12" s="6"/>
      <c r="J12" s="6"/>
      <c r="K12" s="6" t="s">
        <v>11</v>
      </c>
      <c r="L12" s="6"/>
      <c r="M12" s="6"/>
    </row>
    <row r="14" spans="2:13" ht="19.5" customHeight="1" x14ac:dyDescent="0.25">
      <c r="B14" s="3" t="s">
        <v>12</v>
      </c>
      <c r="C14" s="3"/>
      <c r="E14" s="3" t="s">
        <v>13</v>
      </c>
      <c r="F14" s="3"/>
      <c r="G14" s="3"/>
      <c r="H14" s="3"/>
      <c r="I14" s="3"/>
      <c r="J14" s="3"/>
      <c r="K14" s="3"/>
      <c r="L14" s="3"/>
      <c r="M14" s="3"/>
    </row>
    <row r="15" spans="2:13" x14ac:dyDescent="0.25">
      <c r="B15" s="16" t="s">
        <v>14</v>
      </c>
      <c r="C15" s="17" t="s">
        <v>15</v>
      </c>
    </row>
    <row r="16" spans="2:13" ht="15" customHeight="1" x14ac:dyDescent="0.25">
      <c r="B16" s="18" t="s">
        <v>16</v>
      </c>
      <c r="C16" s="19">
        <f>SUMIFS(Kostenerfassung!$J$6:$J$80,Kostenerfassung!$D$6:$D$80,"Kraftstoff",Kostenerfassung!$B$6:$B$80,"&gt;="&amp;DATE($D$4,1,1),Kostenerfassung!$B$6:$B$80,"&lt;="&amp;DATE($D$4,12,31))</f>
        <v>1874.14</v>
      </c>
    </row>
    <row r="17" spans="2:3" ht="15" customHeight="1" x14ac:dyDescent="0.25">
      <c r="B17" s="18" t="s">
        <v>17</v>
      </c>
      <c r="C17" s="19">
        <f>SUMIFS(Kostenerfassung!$J$6:$J$80,Kostenerfassung!$D$6:$D$80,"Wartung &amp; Reparatur",Kostenerfassung!$B$6:$B$80,"&gt;="&amp;DATE($D$4,1,1),Kostenerfassung!$B$6:$B$80,"&lt;="&amp;DATE($D$4,12,31))</f>
        <v>4091.3399999999997</v>
      </c>
    </row>
    <row r="18" spans="2:3" ht="15" customHeight="1" x14ac:dyDescent="0.25">
      <c r="B18" s="18" t="s">
        <v>18</v>
      </c>
      <c r="C18" s="19">
        <f>SUMIFS(Kostenerfassung!$J$6:$J$80,Kostenerfassung!$D$6:$D$80,"Versicherung",Kostenerfassung!$B$6:$B$80,"&gt;="&amp;DATE($D$4,1,1),Kostenerfassung!$B$6:$B$80,"&lt;="&amp;DATE($D$4,12,31))</f>
        <v>2114</v>
      </c>
    </row>
    <row r="19" spans="2:3" ht="15" customHeight="1" x14ac:dyDescent="0.25">
      <c r="B19" s="18" t="s">
        <v>19</v>
      </c>
      <c r="C19" s="19">
        <f>SUMIFS(Kostenerfassung!$J$6:$J$80,Kostenerfassung!$D$6:$D$80,"Kfz-Steuer",Kostenerfassung!$B$6:$B$80,"&gt;="&amp;DATE($D$4,1,1),Kostenerfassung!$B$6:$B$80,"&lt;="&amp;DATE($D$4,12,31))</f>
        <v>528</v>
      </c>
    </row>
    <row r="20" spans="2:3" ht="15" customHeight="1" x14ac:dyDescent="0.25">
      <c r="B20" s="18" t="s">
        <v>20</v>
      </c>
      <c r="C20" s="19">
        <f>SUMIFS(Kostenerfassung!$J$6:$J$80,Kostenerfassung!$D$6:$D$80,"Leasing/Finanzierung",Kostenerfassung!$B$6:$B$80,"&gt;="&amp;DATE($D$4,1,1),Kostenerfassung!$B$6:$B$80,"&lt;="&amp;DATE($D$4,12,31))</f>
        <v>2081.31</v>
      </c>
    </row>
    <row r="21" spans="2:3" ht="15" customHeight="1" x14ac:dyDescent="0.25">
      <c r="B21" s="18" t="s">
        <v>21</v>
      </c>
      <c r="C21" s="19">
        <f>SUMIFS(Kostenerfassung!$J$6:$J$80,Kostenerfassung!$D$6:$D$80,"Reifen",Kostenerfassung!$B$6:$B$80,"&gt;="&amp;DATE($D$4,1,1),Kostenerfassung!$B$6:$B$80,"&lt;="&amp;DATE($D$4,12,31))</f>
        <v>1589.84</v>
      </c>
    </row>
    <row r="22" spans="2:3" ht="15" customHeight="1" x14ac:dyDescent="0.25">
      <c r="B22" s="18" t="s">
        <v>22</v>
      </c>
      <c r="C22" s="19">
        <f>SUMIFS(Kostenerfassung!$J$6:$J$80,Kostenerfassung!$D$6:$D$80,"Maut &amp; Parken",Kostenerfassung!$B$6:$B$80,"&gt;="&amp;DATE($D$4,1,1),Kostenerfassung!$B$6:$B$80,"&lt;="&amp;DATE($D$4,12,31))</f>
        <v>387.16999999999996</v>
      </c>
    </row>
    <row r="23" spans="2:3" ht="15" customHeight="1" x14ac:dyDescent="0.25">
      <c r="B23" s="18" t="s">
        <v>23</v>
      </c>
      <c r="C23" s="19">
        <f>SUMIFS(Kostenerfassung!$J$6:$J$80,Kostenerfassung!$D$6:$D$80,"Reinigung/Pflege",Kostenerfassung!$B$6:$B$80,"&gt;="&amp;DATE($D$4,1,1),Kostenerfassung!$B$6:$B$80,"&lt;="&amp;DATE($D$4,12,31))</f>
        <v>152.32</v>
      </c>
    </row>
    <row r="24" spans="2:3" ht="15" customHeight="1" x14ac:dyDescent="0.25">
      <c r="B24" s="18" t="s">
        <v>24</v>
      </c>
      <c r="C24" s="19">
        <f>SUMIFS(Kostenerfassung!$J$6:$J$80,Kostenerfassung!$D$6:$D$80,"Sonstiges",Kostenerfassung!$B$6:$B$80,"&gt;="&amp;DATE($D$4,1,1),Kostenerfassung!$B$6:$B$80,"&lt;="&amp;DATE($D$4,12,31))</f>
        <v>199.92000000000002</v>
      </c>
    </row>
    <row r="25" spans="2:3" ht="15" customHeight="1" x14ac:dyDescent="0.25">
      <c r="B25" s="20" t="s">
        <v>25</v>
      </c>
      <c r="C25" s="21">
        <f>SUM(C16:C24)</f>
        <v>13018.039999999999</v>
      </c>
    </row>
    <row r="27" spans="2:3" ht="19.5" customHeight="1" x14ac:dyDescent="0.25">
      <c r="B27" s="3" t="s">
        <v>26</v>
      </c>
      <c r="C27" s="3"/>
    </row>
    <row r="28" spans="2:3" x14ac:dyDescent="0.25">
      <c r="B28" s="16" t="s">
        <v>27</v>
      </c>
      <c r="C28" s="17" t="s">
        <v>28</v>
      </c>
    </row>
    <row r="29" spans="2:3" ht="15.75" customHeight="1" x14ac:dyDescent="0.25">
      <c r="B29" s="22" t="s">
        <v>29</v>
      </c>
      <c r="C29" s="23">
        <f ca="1">COUNTIF('Wartung &amp; Termine'!$J$6:$J$40,"Überfällig")+COUNTIF(Fahrzeuge!$V$6:$V$40,"Überfällig")</f>
        <v>4</v>
      </c>
    </row>
    <row r="30" spans="2:3" ht="15.75" customHeight="1" x14ac:dyDescent="0.25">
      <c r="B30" s="24" t="s">
        <v>30</v>
      </c>
      <c r="C30" s="25">
        <f ca="1">COUNTIF('Wartung &amp; Termine'!$J$6:$J$40,"Bald fällig")+COUNTIF(Fahrzeuge!$V$6:$V$40,"Bald fällig")</f>
        <v>6</v>
      </c>
    </row>
    <row r="31" spans="2:3" ht="15.75" customHeight="1" x14ac:dyDescent="0.25">
      <c r="B31" s="26" t="s">
        <v>31</v>
      </c>
      <c r="C31" s="27">
        <f ca="1">COUNTIF('Wartung &amp; Termine'!$J$6:$J$40,"Geplant")+COUNTIF(Fahrzeuge!$V$6:$V$40,"OK")</f>
        <v>18</v>
      </c>
    </row>
    <row r="32" spans="2:3" ht="15.75" customHeight="1" x14ac:dyDescent="0.25">
      <c r="B32" s="28" t="s">
        <v>32</v>
      </c>
      <c r="C32" s="29">
        <f ca="1">COUNTIF('Wartung &amp; Termine'!$J$6:$J$40,"Erledigt")</f>
        <v>3</v>
      </c>
    </row>
    <row r="34" spans="2:3" ht="19.5" customHeight="1" x14ac:dyDescent="0.25">
      <c r="B34" s="3" t="s">
        <v>33</v>
      </c>
      <c r="C34" s="3"/>
    </row>
    <row r="35" spans="2:3" x14ac:dyDescent="0.25">
      <c r="B35" s="16" t="s">
        <v>34</v>
      </c>
      <c r="C35" s="17" t="s">
        <v>15</v>
      </c>
    </row>
    <row r="36" spans="2:3" ht="15" customHeight="1" x14ac:dyDescent="0.25">
      <c r="B36" s="18" t="str">
        <f>Fahrzeuge!B6</f>
        <v>OL-AB 123</v>
      </c>
      <c r="C36" s="19">
        <f>SUMIFS(Kostenerfassung!$J$6:$J$80,Kostenerfassung!$C$6:$C$80,B36,Kostenerfassung!$B$6:$B$80,"&gt;="&amp;DATE($D$4,1,1),Kostenerfassung!$B$6:$B$80,"&lt;="&amp;DATE($D$4,12,31))</f>
        <v>1698.13</v>
      </c>
    </row>
    <row r="37" spans="2:3" ht="15" customHeight="1" x14ac:dyDescent="0.25">
      <c r="B37" s="18" t="str">
        <f>Fahrzeuge!B7</f>
        <v>OL-AB 124</v>
      </c>
      <c r="C37" s="19">
        <f>SUMIFS(Kostenerfassung!$J$6:$J$80,Kostenerfassung!$C$6:$C$80,B37,Kostenerfassung!$B$6:$B$80,"&gt;="&amp;DATE($D$4,1,1),Kostenerfassung!$B$6:$B$80,"&lt;="&amp;DATE($D$4,12,31))</f>
        <v>1211.98</v>
      </c>
    </row>
    <row r="38" spans="2:3" ht="15" customHeight="1" x14ac:dyDescent="0.25">
      <c r="B38" s="18" t="str">
        <f>Fahrzeuge!B8</f>
        <v>OL-CD 210</v>
      </c>
      <c r="C38" s="19">
        <f>SUMIFS(Kostenerfassung!$J$6:$J$80,Kostenerfassung!$C$6:$C$80,B38,Kostenerfassung!$B$6:$B$80,"&gt;="&amp;DATE($D$4,1,1),Kostenerfassung!$B$6:$B$80,"&lt;="&amp;DATE($D$4,12,31))</f>
        <v>288.58000000000004</v>
      </c>
    </row>
    <row r="39" spans="2:3" ht="15" customHeight="1" x14ac:dyDescent="0.25">
      <c r="B39" s="18" t="str">
        <f>Fahrzeuge!B9</f>
        <v>OL-CD 211</v>
      </c>
      <c r="C39" s="19">
        <f>SUMIFS(Kostenerfassung!$J$6:$J$80,Kostenerfassung!$C$6:$C$80,B39,Kostenerfassung!$B$6:$B$80,"&gt;="&amp;DATE($D$4,1,1),Kostenerfassung!$B$6:$B$80,"&lt;="&amp;DATE($D$4,12,31))</f>
        <v>1748.15</v>
      </c>
    </row>
    <row r="40" spans="2:3" ht="15" customHeight="1" x14ac:dyDescent="0.25">
      <c r="B40" s="18" t="str">
        <f>Fahrzeuge!B10</f>
        <v>HB-EF 88</v>
      </c>
      <c r="C40" s="19">
        <f>SUMIFS(Kostenerfassung!$J$6:$J$80,Kostenerfassung!$C$6:$C$80,B40,Kostenerfassung!$B$6:$B$80,"&gt;="&amp;DATE($D$4,1,1),Kostenerfassung!$B$6:$B$80,"&lt;="&amp;DATE($D$4,12,31))</f>
        <v>1882.82</v>
      </c>
    </row>
    <row r="41" spans="2:3" ht="15" customHeight="1" x14ac:dyDescent="0.25">
      <c r="B41" s="18" t="str">
        <f>Fahrzeuge!B11</f>
        <v>HB-EF 89</v>
      </c>
      <c r="C41" s="19">
        <f>SUMIFS(Kostenerfassung!$J$6:$J$80,Kostenerfassung!$C$6:$C$80,B41,Kostenerfassung!$B$6:$B$80,"&gt;="&amp;DATE($D$4,1,1),Kostenerfassung!$B$6:$B$80,"&lt;="&amp;DATE($D$4,12,31))</f>
        <v>952.71999999999991</v>
      </c>
    </row>
    <row r="42" spans="2:3" ht="15" customHeight="1" x14ac:dyDescent="0.25">
      <c r="B42" s="18" t="str">
        <f>Fahrzeuge!B12</f>
        <v>OL-GH 45</v>
      </c>
      <c r="C42" s="19">
        <f>SUMIFS(Kostenerfassung!$J$6:$J$80,Kostenerfassung!$C$6:$C$80,B42,Kostenerfassung!$B$6:$B$80,"&gt;="&amp;DATE($D$4,1,1),Kostenerfassung!$B$6:$B$80,"&lt;="&amp;DATE($D$4,12,31))</f>
        <v>1353.4999999999998</v>
      </c>
    </row>
    <row r="43" spans="2:3" ht="15" customHeight="1" x14ac:dyDescent="0.25">
      <c r="B43" s="18" t="str">
        <f>Fahrzeuge!B13</f>
        <v>OL-GH 46</v>
      </c>
      <c r="C43" s="19">
        <f>SUMIFS(Kostenerfassung!$J$6:$J$80,Kostenerfassung!$C$6:$C$80,B43,Kostenerfassung!$B$6:$B$80,"&gt;="&amp;DATE($D$4,1,1),Kostenerfassung!$B$6:$B$80,"&lt;="&amp;DATE($D$4,12,31))</f>
        <v>805.63000000000011</v>
      </c>
    </row>
    <row r="44" spans="2:3" ht="15" customHeight="1" x14ac:dyDescent="0.25">
      <c r="B44" s="18" t="str">
        <f>Fahrzeuge!B14</f>
        <v>OL-IJ 7</v>
      </c>
      <c r="C44" s="19">
        <f>SUMIFS(Kostenerfassung!$J$6:$J$80,Kostenerfassung!$C$6:$C$80,B44,Kostenerfassung!$B$6:$B$80,"&gt;="&amp;DATE($D$4,1,1),Kostenerfassung!$B$6:$B$80,"&lt;="&amp;DATE($D$4,12,31))</f>
        <v>147.44</v>
      </c>
    </row>
    <row r="45" spans="2:3" ht="15" customHeight="1" x14ac:dyDescent="0.25">
      <c r="B45" s="18" t="str">
        <f>Fahrzeuge!B15</f>
        <v>OL-IJ 8</v>
      </c>
      <c r="C45" s="19">
        <f>SUMIFS(Kostenerfassung!$J$6:$J$80,Kostenerfassung!$C$6:$C$80,B45,Kostenerfassung!$B$6:$B$80,"&gt;="&amp;DATE($D$4,1,1),Kostenerfassung!$B$6:$B$80,"&lt;="&amp;DATE($D$4,12,31))</f>
        <v>128.4</v>
      </c>
    </row>
    <row r="46" spans="2:3" ht="15" customHeight="1" x14ac:dyDescent="0.25">
      <c r="B46" s="18" t="str">
        <f>Fahrzeuge!B16</f>
        <v>WHV-KL 33</v>
      </c>
      <c r="C46" s="19">
        <f>SUMIFS(Kostenerfassung!$J$6:$J$80,Kostenerfassung!$C$6:$C$80,B46,Kostenerfassung!$B$6:$B$80,"&gt;="&amp;DATE($D$4,1,1),Kostenerfassung!$B$6:$B$80,"&lt;="&amp;DATE($D$4,12,31))</f>
        <v>234.79</v>
      </c>
    </row>
    <row r="47" spans="2:3" ht="15" customHeight="1" x14ac:dyDescent="0.25">
      <c r="B47" s="18" t="str">
        <f>Fahrzeuge!B17</f>
        <v>OL-MN 500</v>
      </c>
      <c r="C47" s="19">
        <f>SUMIFS(Kostenerfassung!$J$6:$J$80,Kostenerfassung!$C$6:$C$80,B47,Kostenerfassung!$B$6:$B$80,"&gt;="&amp;DATE($D$4,1,1),Kostenerfassung!$B$6:$B$80,"&lt;="&amp;DATE($D$4,12,31))</f>
        <v>1899.78</v>
      </c>
    </row>
    <row r="48" spans="2:3" ht="15" customHeight="1" x14ac:dyDescent="0.25">
      <c r="B48" s="18" t="str">
        <f>Fahrzeuge!B18</f>
        <v>OL-MN 12</v>
      </c>
      <c r="C48" s="19">
        <f>SUMIFS(Kostenerfassung!$J$6:$J$80,Kostenerfassung!$C$6:$C$80,B48,Kostenerfassung!$B$6:$B$80,"&gt;="&amp;DATE($D$4,1,1),Kostenerfassung!$B$6:$B$80,"&lt;="&amp;DATE($D$4,12,31))</f>
        <v>666.12</v>
      </c>
    </row>
    <row r="56" spans="2:13" ht="15.75" customHeight="1" x14ac:dyDescent="0.25">
      <c r="B56" s="2" t="s">
        <v>35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</sheetData>
  <mergeCells count="34">
    <mergeCell ref="B14:C14"/>
    <mergeCell ref="E14:M14"/>
    <mergeCell ref="B27:C27"/>
    <mergeCell ref="B34:C34"/>
    <mergeCell ref="B56:M56"/>
    <mergeCell ref="B11:D11"/>
    <mergeCell ref="E11:G11"/>
    <mergeCell ref="H11:J11"/>
    <mergeCell ref="K11:M11"/>
    <mergeCell ref="B12:D12"/>
    <mergeCell ref="E12:G12"/>
    <mergeCell ref="H12:J12"/>
    <mergeCell ref="K12:M12"/>
    <mergeCell ref="B8:D8"/>
    <mergeCell ref="E8:G8"/>
    <mergeCell ref="H8:J8"/>
    <mergeCell ref="K8:M8"/>
    <mergeCell ref="B10:D10"/>
    <mergeCell ref="E10:G10"/>
    <mergeCell ref="H10:J10"/>
    <mergeCell ref="K10:M10"/>
    <mergeCell ref="B6:D6"/>
    <mergeCell ref="E6:G6"/>
    <mergeCell ref="H6:J6"/>
    <mergeCell ref="K6:M6"/>
    <mergeCell ref="B7:D7"/>
    <mergeCell ref="E7:G7"/>
    <mergeCell ref="H7:J7"/>
    <mergeCell ref="K7:M7"/>
    <mergeCell ref="B1:M1"/>
    <mergeCell ref="B2:M2"/>
    <mergeCell ref="B3:M3"/>
    <mergeCell ref="B4:C4"/>
    <mergeCell ref="F4:M4"/>
  </mergeCells>
  <pageMargins left="0.75" right="0.75" top="1" bottom="1" header="0.511811023622047" footer="0.511811023622047"/>
  <pageSetup paperSize="9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0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8.7109375" defaultRowHeight="15" x14ac:dyDescent="0.25"/>
  <cols>
    <col min="1" max="1" width="4.42578125" customWidth="1"/>
    <col min="2" max="2" width="12.42578125" customWidth="1"/>
    <col min="3" max="3" width="13" customWidth="1"/>
    <col min="4" max="4" width="17" customWidth="1"/>
    <col min="5" max="5" width="12" customWidth="1"/>
    <col min="6" max="6" width="10" customWidth="1"/>
    <col min="7" max="7" width="19" customWidth="1"/>
    <col min="8" max="10" width="12" customWidth="1"/>
    <col min="11" max="11" width="11" customWidth="1"/>
    <col min="12" max="13" width="15" customWidth="1"/>
    <col min="14" max="14" width="12" customWidth="1"/>
    <col min="15" max="15" width="13" customWidth="1"/>
    <col min="16" max="17" width="14" customWidth="1"/>
    <col min="18" max="18" width="12" customWidth="1"/>
    <col min="19" max="19" width="11" customWidth="1"/>
    <col min="20" max="20" width="7.42578125" customWidth="1"/>
    <col min="21" max="21" width="9" customWidth="1"/>
    <col min="22" max="22" width="11" customWidth="1"/>
    <col min="23" max="23" width="12" customWidth="1"/>
    <col min="24" max="24" width="10.5703125" customWidth="1"/>
  </cols>
  <sheetData>
    <row r="1" spans="1:24" ht="33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9.5" customHeight="1" x14ac:dyDescent="0.25">
      <c r="A2" s="13" t="s">
        <v>36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3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4" ht="18" customHeight="1" x14ac:dyDescent="0.25">
      <c r="A4" s="56" t="s">
        <v>37</v>
      </c>
      <c r="B4" s="56"/>
      <c r="C4" s="56"/>
      <c r="D4" s="56"/>
      <c r="F4" s="10" t="s">
        <v>38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33.75" customHeight="1" x14ac:dyDescent="0.25">
      <c r="A5" s="30" t="s">
        <v>39</v>
      </c>
      <c r="B5" s="30" t="s">
        <v>34</v>
      </c>
      <c r="C5" s="30" t="s">
        <v>40</v>
      </c>
      <c r="D5" s="30" t="s">
        <v>41</v>
      </c>
      <c r="E5" s="30" t="s">
        <v>42</v>
      </c>
      <c r="F5" s="30" t="s">
        <v>16</v>
      </c>
      <c r="G5" s="30" t="s">
        <v>43</v>
      </c>
      <c r="H5" s="30" t="s">
        <v>44</v>
      </c>
      <c r="I5" s="30" t="s">
        <v>45</v>
      </c>
      <c r="J5" s="30" t="s">
        <v>46</v>
      </c>
      <c r="K5" s="30" t="s">
        <v>47</v>
      </c>
      <c r="L5" s="30" t="s">
        <v>48</v>
      </c>
      <c r="M5" s="30" t="s">
        <v>49</v>
      </c>
      <c r="N5" s="30" t="s">
        <v>27</v>
      </c>
      <c r="O5" s="30" t="s">
        <v>50</v>
      </c>
      <c r="P5" s="30" t="s">
        <v>51</v>
      </c>
      <c r="Q5" s="30" t="s">
        <v>52</v>
      </c>
      <c r="R5" s="30" t="s">
        <v>53</v>
      </c>
      <c r="S5" s="30" t="s">
        <v>54</v>
      </c>
      <c r="T5" s="30" t="s">
        <v>55</v>
      </c>
      <c r="U5" s="30" t="s">
        <v>56</v>
      </c>
      <c r="V5" s="30" t="s">
        <v>57</v>
      </c>
      <c r="W5" s="30" t="s">
        <v>58</v>
      </c>
      <c r="X5" s="30" t="s">
        <v>59</v>
      </c>
    </row>
    <row r="6" spans="1:24" ht="15.75" customHeight="1" x14ac:dyDescent="0.25">
      <c r="A6" s="31">
        <f t="shared" ref="A6:A40" si="0">IF(B6="","",ROW()-5)</f>
        <v>1</v>
      </c>
      <c r="B6" s="32" t="s">
        <v>60</v>
      </c>
      <c r="C6" s="33" t="s">
        <v>61</v>
      </c>
      <c r="D6" s="33" t="s">
        <v>62</v>
      </c>
      <c r="E6" s="34" t="s">
        <v>63</v>
      </c>
      <c r="F6" s="34" t="s">
        <v>64</v>
      </c>
      <c r="G6" s="35" t="s">
        <v>65</v>
      </c>
      <c r="H6" s="36">
        <v>44270</v>
      </c>
      <c r="I6" s="36">
        <v>44275</v>
      </c>
      <c r="J6" s="37">
        <v>29800</v>
      </c>
      <c r="K6" s="38">
        <v>68240</v>
      </c>
      <c r="L6" s="33" t="s">
        <v>66</v>
      </c>
      <c r="M6" s="33" t="s">
        <v>67</v>
      </c>
      <c r="N6" s="34" t="s">
        <v>68</v>
      </c>
      <c r="O6" s="36">
        <v>46447</v>
      </c>
      <c r="P6" s="36">
        <v>46388</v>
      </c>
      <c r="Q6" s="36">
        <v>46336</v>
      </c>
      <c r="R6" s="34" t="s">
        <v>69</v>
      </c>
      <c r="S6" s="39">
        <v>289</v>
      </c>
      <c r="T6" s="40">
        <f t="shared" ref="T6:T40" ca="1" si="1">IF(H6="","",ROUND((TODAY()-H6)/365.25,1))</f>
        <v>5.5</v>
      </c>
      <c r="U6" s="41">
        <f t="shared" ref="U6:U40" ca="1" si="2">IF(O6="","",O6-TODAY())</f>
        <v>152</v>
      </c>
      <c r="V6" s="42" t="str">
        <f t="shared" ref="V6:V40" ca="1" si="3">IF(O6="","",IF(O6-TODAY()&lt;0,"Überfällig",IF(O6-TODAY()&lt;=60,"Bald fällig","OK")))</f>
        <v>OK</v>
      </c>
      <c r="W6" s="43">
        <f>IF(B6="","",SUMIF(Kostenerfassung!$C$6:$C$80,B6,Kostenerfassung!$J$6:$J$80))</f>
        <v>1698.13</v>
      </c>
      <c r="X6" s="44">
        <f t="shared" ref="X6:X40" si="4">IF(OR(B6="",K6=""),"",IF(K6=0,0,W6/K6))</f>
        <v>2.4884671746776086E-2</v>
      </c>
    </row>
    <row r="7" spans="1:24" ht="15.75" customHeight="1" x14ac:dyDescent="0.25">
      <c r="A7" s="31">
        <f t="shared" si="0"/>
        <v>2</v>
      </c>
      <c r="B7" s="32" t="s">
        <v>70</v>
      </c>
      <c r="C7" s="33" t="s">
        <v>61</v>
      </c>
      <c r="D7" s="33" t="s">
        <v>71</v>
      </c>
      <c r="E7" s="34" t="s">
        <v>72</v>
      </c>
      <c r="F7" s="34" t="s">
        <v>64</v>
      </c>
      <c r="G7" s="35" t="s">
        <v>73</v>
      </c>
      <c r="H7" s="36">
        <v>43983</v>
      </c>
      <c r="I7" s="36">
        <v>43987</v>
      </c>
      <c r="J7" s="37">
        <v>36500</v>
      </c>
      <c r="K7" s="38">
        <v>112380</v>
      </c>
      <c r="L7" s="33" t="s">
        <v>74</v>
      </c>
      <c r="M7" s="33" t="s">
        <v>67</v>
      </c>
      <c r="N7" s="34" t="s">
        <v>68</v>
      </c>
      <c r="O7" s="36">
        <v>46315</v>
      </c>
      <c r="P7" s="36">
        <v>46357</v>
      </c>
      <c r="Q7" s="36">
        <v>46300</v>
      </c>
      <c r="R7" s="34" t="s">
        <v>69</v>
      </c>
      <c r="S7" s="39">
        <v>329</v>
      </c>
      <c r="T7" s="40">
        <f t="shared" ca="1" si="1"/>
        <v>6.3</v>
      </c>
      <c r="U7" s="41">
        <f t="shared" ca="1" si="2"/>
        <v>20</v>
      </c>
      <c r="V7" s="42" t="str">
        <f t="shared" ca="1" si="3"/>
        <v>Bald fällig</v>
      </c>
      <c r="W7" s="43">
        <f>IF(B7="","",SUMIF(Kostenerfassung!$C$6:$C$80,B7,Kostenerfassung!$J$6:$J$80))</f>
        <v>1211.98</v>
      </c>
      <c r="X7" s="44">
        <f t="shared" si="4"/>
        <v>1.0784659192027051E-2</v>
      </c>
    </row>
    <row r="8" spans="1:24" ht="15.75" customHeight="1" x14ac:dyDescent="0.25">
      <c r="A8" s="31">
        <f t="shared" si="0"/>
        <v>3</v>
      </c>
      <c r="B8" s="32" t="s">
        <v>75</v>
      </c>
      <c r="C8" s="33" t="s">
        <v>76</v>
      </c>
      <c r="D8" s="33" t="s">
        <v>77</v>
      </c>
      <c r="E8" s="34" t="s">
        <v>72</v>
      </c>
      <c r="F8" s="34" t="s">
        <v>78</v>
      </c>
      <c r="G8" s="35" t="s">
        <v>79</v>
      </c>
      <c r="H8" s="36">
        <v>44816</v>
      </c>
      <c r="I8" s="36">
        <v>44819</v>
      </c>
      <c r="J8" s="37">
        <v>27400</v>
      </c>
      <c r="K8" s="38">
        <v>41250</v>
      </c>
      <c r="L8" s="33" t="s">
        <v>80</v>
      </c>
      <c r="M8" s="33" t="s">
        <v>81</v>
      </c>
      <c r="N8" s="34" t="s">
        <v>68</v>
      </c>
      <c r="O8" s="36">
        <v>46631</v>
      </c>
      <c r="P8" s="36">
        <v>46478</v>
      </c>
      <c r="Q8" s="36">
        <v>46419</v>
      </c>
      <c r="R8" s="34" t="s">
        <v>82</v>
      </c>
      <c r="S8" s="39"/>
      <c r="T8" s="40">
        <f t="shared" ca="1" si="1"/>
        <v>4</v>
      </c>
      <c r="U8" s="41">
        <f t="shared" ca="1" si="2"/>
        <v>336</v>
      </c>
      <c r="V8" s="42" t="str">
        <f t="shared" ca="1" si="3"/>
        <v>OK</v>
      </c>
      <c r="W8" s="43">
        <f>IF(B8="","",SUMIF(Kostenerfassung!$C$6:$C$80,B8,Kostenerfassung!$J$6:$J$80))</f>
        <v>288.58000000000004</v>
      </c>
      <c r="X8" s="44">
        <f t="shared" si="4"/>
        <v>6.9958787878787888E-3</v>
      </c>
    </row>
    <row r="9" spans="1:24" ht="15.75" customHeight="1" x14ac:dyDescent="0.25">
      <c r="A9" s="31">
        <f t="shared" si="0"/>
        <v>4</v>
      </c>
      <c r="B9" s="32" t="s">
        <v>83</v>
      </c>
      <c r="C9" s="33" t="s">
        <v>84</v>
      </c>
      <c r="D9" s="33" t="s">
        <v>85</v>
      </c>
      <c r="E9" s="34" t="s">
        <v>86</v>
      </c>
      <c r="F9" s="34" t="s">
        <v>64</v>
      </c>
      <c r="G9" s="35" t="s">
        <v>87</v>
      </c>
      <c r="H9" s="36">
        <v>43563</v>
      </c>
      <c r="I9" s="36">
        <v>43565</v>
      </c>
      <c r="J9" s="37">
        <v>34200</v>
      </c>
      <c r="K9" s="38">
        <v>158900</v>
      </c>
      <c r="L9" s="33" t="s">
        <v>88</v>
      </c>
      <c r="M9" s="33" t="s">
        <v>89</v>
      </c>
      <c r="N9" s="34" t="s">
        <v>68</v>
      </c>
      <c r="O9" s="36">
        <v>46249</v>
      </c>
      <c r="P9" s="36">
        <v>46327</v>
      </c>
      <c r="Q9" s="36">
        <v>46285</v>
      </c>
      <c r="R9" s="34" t="s">
        <v>82</v>
      </c>
      <c r="S9" s="39"/>
      <c r="T9" s="40">
        <f t="shared" ca="1" si="1"/>
        <v>7.5</v>
      </c>
      <c r="U9" s="41">
        <f t="shared" ca="1" si="2"/>
        <v>-46</v>
      </c>
      <c r="V9" s="42" t="str">
        <f t="shared" ca="1" si="3"/>
        <v>Überfällig</v>
      </c>
      <c r="W9" s="43">
        <f>IF(B9="","",SUMIF(Kostenerfassung!$C$6:$C$80,B9,Kostenerfassung!$J$6:$J$80))</f>
        <v>1748.15</v>
      </c>
      <c r="X9" s="44">
        <f t="shared" si="4"/>
        <v>1.1001573316551291E-2</v>
      </c>
    </row>
    <row r="10" spans="1:24" ht="15.75" customHeight="1" x14ac:dyDescent="0.25">
      <c r="A10" s="31">
        <f t="shared" si="0"/>
        <v>5</v>
      </c>
      <c r="B10" s="32" t="s">
        <v>90</v>
      </c>
      <c r="C10" s="33" t="s">
        <v>91</v>
      </c>
      <c r="D10" s="33" t="s">
        <v>92</v>
      </c>
      <c r="E10" s="34" t="s">
        <v>86</v>
      </c>
      <c r="F10" s="34" t="s">
        <v>64</v>
      </c>
      <c r="G10" s="35" t="s">
        <v>93</v>
      </c>
      <c r="H10" s="36">
        <v>44502</v>
      </c>
      <c r="I10" s="36">
        <v>44508</v>
      </c>
      <c r="J10" s="37">
        <v>44900</v>
      </c>
      <c r="K10" s="38">
        <v>96110</v>
      </c>
      <c r="L10" s="33" t="s">
        <v>94</v>
      </c>
      <c r="M10" s="33" t="s">
        <v>89</v>
      </c>
      <c r="N10" s="34" t="s">
        <v>68</v>
      </c>
      <c r="O10" s="36">
        <v>46508</v>
      </c>
      <c r="P10" s="36">
        <v>46461</v>
      </c>
      <c r="Q10" s="36">
        <v>46357</v>
      </c>
      <c r="R10" s="34" t="s">
        <v>53</v>
      </c>
      <c r="S10" s="39">
        <v>412</v>
      </c>
      <c r="T10" s="40">
        <f t="shared" ca="1" si="1"/>
        <v>4.9000000000000004</v>
      </c>
      <c r="U10" s="41">
        <f t="shared" ca="1" si="2"/>
        <v>213</v>
      </c>
      <c r="V10" s="42" t="str">
        <f t="shared" ca="1" si="3"/>
        <v>OK</v>
      </c>
      <c r="W10" s="43">
        <f>IF(B10="","",SUMIF(Kostenerfassung!$C$6:$C$80,B10,Kostenerfassung!$J$6:$J$80))</f>
        <v>1882.82</v>
      </c>
      <c r="X10" s="44">
        <f t="shared" si="4"/>
        <v>1.9590261159088542E-2</v>
      </c>
    </row>
    <row r="11" spans="1:24" ht="15.75" customHeight="1" x14ac:dyDescent="0.25">
      <c r="A11" s="31">
        <f t="shared" si="0"/>
        <v>6</v>
      </c>
      <c r="B11" s="32" t="s">
        <v>95</v>
      </c>
      <c r="C11" s="33" t="s">
        <v>96</v>
      </c>
      <c r="D11" s="33" t="s">
        <v>97</v>
      </c>
      <c r="E11" s="34" t="s">
        <v>86</v>
      </c>
      <c r="F11" s="34" t="s">
        <v>64</v>
      </c>
      <c r="G11" s="35" t="s">
        <v>98</v>
      </c>
      <c r="H11" s="36">
        <v>44612</v>
      </c>
      <c r="I11" s="36">
        <v>44617</v>
      </c>
      <c r="J11" s="37">
        <v>31200</v>
      </c>
      <c r="K11" s="38">
        <v>73400</v>
      </c>
      <c r="L11" s="33" t="s">
        <v>88</v>
      </c>
      <c r="M11" s="33" t="s">
        <v>99</v>
      </c>
      <c r="N11" s="34" t="s">
        <v>100</v>
      </c>
      <c r="O11" s="36">
        <v>46419</v>
      </c>
      <c r="P11" s="36">
        <v>46419</v>
      </c>
      <c r="Q11" s="36">
        <v>46307</v>
      </c>
      <c r="R11" s="34" t="s">
        <v>69</v>
      </c>
      <c r="S11" s="39">
        <v>255</v>
      </c>
      <c r="T11" s="40">
        <f t="shared" ca="1" si="1"/>
        <v>4.5999999999999996</v>
      </c>
      <c r="U11" s="41">
        <f t="shared" ca="1" si="2"/>
        <v>124</v>
      </c>
      <c r="V11" s="42" t="str">
        <f t="shared" ca="1" si="3"/>
        <v>OK</v>
      </c>
      <c r="W11" s="43">
        <f>IF(B11="","",SUMIF(Kostenerfassung!$C$6:$C$80,B11,Kostenerfassung!$J$6:$J$80))</f>
        <v>952.71999999999991</v>
      </c>
      <c r="X11" s="44">
        <f t="shared" si="4"/>
        <v>1.2979836512261578E-2</v>
      </c>
    </row>
    <row r="12" spans="1:24" ht="15.75" customHeight="1" x14ac:dyDescent="0.25">
      <c r="A12" s="31">
        <f t="shared" si="0"/>
        <v>7</v>
      </c>
      <c r="B12" s="32" t="s">
        <v>101</v>
      </c>
      <c r="C12" s="33" t="s">
        <v>102</v>
      </c>
      <c r="D12" s="33" t="s">
        <v>103</v>
      </c>
      <c r="E12" s="34" t="s">
        <v>63</v>
      </c>
      <c r="F12" s="34" t="s">
        <v>64</v>
      </c>
      <c r="G12" s="35" t="s">
        <v>104</v>
      </c>
      <c r="H12" s="36">
        <v>44060</v>
      </c>
      <c r="I12" s="36">
        <v>44063</v>
      </c>
      <c r="J12" s="37">
        <v>41800</v>
      </c>
      <c r="K12" s="38">
        <v>121750</v>
      </c>
      <c r="L12" s="33" t="s">
        <v>105</v>
      </c>
      <c r="M12" s="33" t="s">
        <v>106</v>
      </c>
      <c r="N12" s="34" t="s">
        <v>68</v>
      </c>
      <c r="O12" s="36">
        <v>46600</v>
      </c>
      <c r="P12" s="36">
        <v>46539</v>
      </c>
      <c r="Q12" s="36">
        <v>46402</v>
      </c>
      <c r="R12" s="34" t="s">
        <v>69</v>
      </c>
      <c r="S12" s="39">
        <v>468</v>
      </c>
      <c r="T12" s="40">
        <f t="shared" ca="1" si="1"/>
        <v>6.1</v>
      </c>
      <c r="U12" s="41">
        <f t="shared" ca="1" si="2"/>
        <v>305</v>
      </c>
      <c r="V12" s="42" t="str">
        <f t="shared" ca="1" si="3"/>
        <v>OK</v>
      </c>
      <c r="W12" s="43">
        <f>IF(B12="","",SUMIF(Kostenerfassung!$C$6:$C$80,B12,Kostenerfassung!$J$6:$J$80))</f>
        <v>1353.4999999999998</v>
      </c>
      <c r="X12" s="44">
        <f t="shared" si="4"/>
        <v>1.1117043121149896E-2</v>
      </c>
    </row>
    <row r="13" spans="1:24" ht="15.75" customHeight="1" x14ac:dyDescent="0.25">
      <c r="A13" s="31">
        <f t="shared" si="0"/>
        <v>8</v>
      </c>
      <c r="B13" s="32" t="s">
        <v>107</v>
      </c>
      <c r="C13" s="33" t="s">
        <v>108</v>
      </c>
      <c r="D13" s="33" t="s">
        <v>109</v>
      </c>
      <c r="E13" s="34" t="s">
        <v>72</v>
      </c>
      <c r="F13" s="34" t="s">
        <v>64</v>
      </c>
      <c r="G13" s="35" t="s">
        <v>110</v>
      </c>
      <c r="H13" s="36">
        <v>44321</v>
      </c>
      <c r="I13" s="36">
        <v>44326</v>
      </c>
      <c r="J13" s="37">
        <v>43600</v>
      </c>
      <c r="K13" s="38">
        <v>88920</v>
      </c>
      <c r="L13" s="33" t="s">
        <v>111</v>
      </c>
      <c r="M13" s="33" t="s">
        <v>67</v>
      </c>
      <c r="N13" s="34" t="s">
        <v>68</v>
      </c>
      <c r="O13" s="36">
        <v>46478</v>
      </c>
      <c r="P13" s="36">
        <v>46508</v>
      </c>
      <c r="Q13" s="36">
        <v>46351</v>
      </c>
      <c r="R13" s="34" t="s">
        <v>69</v>
      </c>
      <c r="S13" s="39">
        <v>439</v>
      </c>
      <c r="T13" s="40">
        <f t="shared" ca="1" si="1"/>
        <v>5.4</v>
      </c>
      <c r="U13" s="41">
        <f t="shared" ca="1" si="2"/>
        <v>183</v>
      </c>
      <c r="V13" s="42" t="str">
        <f t="shared" ca="1" si="3"/>
        <v>OK</v>
      </c>
      <c r="W13" s="43">
        <f>IF(B13="","",SUMIF(Kostenerfassung!$C$6:$C$80,B13,Kostenerfassung!$J$6:$J$80))</f>
        <v>805.63000000000011</v>
      </c>
      <c r="X13" s="44">
        <f t="shared" si="4"/>
        <v>9.06016644174539E-3</v>
      </c>
    </row>
    <row r="14" spans="1:24" ht="15.75" customHeight="1" x14ac:dyDescent="0.25">
      <c r="A14" s="31">
        <f t="shared" si="0"/>
        <v>9</v>
      </c>
      <c r="B14" s="32" t="s">
        <v>112</v>
      </c>
      <c r="C14" s="33" t="s">
        <v>113</v>
      </c>
      <c r="D14" s="33" t="s">
        <v>114</v>
      </c>
      <c r="E14" s="34" t="s">
        <v>63</v>
      </c>
      <c r="F14" s="34" t="s">
        <v>115</v>
      </c>
      <c r="G14" s="35" t="s">
        <v>116</v>
      </c>
      <c r="H14" s="36">
        <v>44944</v>
      </c>
      <c r="I14" s="36">
        <v>44948</v>
      </c>
      <c r="J14" s="37">
        <v>46900</v>
      </c>
      <c r="K14" s="38">
        <v>52340</v>
      </c>
      <c r="L14" s="33" t="s">
        <v>105</v>
      </c>
      <c r="M14" s="33" t="s">
        <v>106</v>
      </c>
      <c r="N14" s="34" t="s">
        <v>68</v>
      </c>
      <c r="O14" s="36">
        <v>46388</v>
      </c>
      <c r="P14" s="36">
        <v>46388</v>
      </c>
      <c r="Q14" s="36">
        <v>46397</v>
      </c>
      <c r="R14" s="34" t="s">
        <v>69</v>
      </c>
      <c r="S14" s="39">
        <v>519</v>
      </c>
      <c r="T14" s="40">
        <f t="shared" ca="1" si="1"/>
        <v>3.7</v>
      </c>
      <c r="U14" s="41">
        <f t="shared" ca="1" si="2"/>
        <v>93</v>
      </c>
      <c r="V14" s="42" t="str">
        <f t="shared" ca="1" si="3"/>
        <v>OK</v>
      </c>
      <c r="W14" s="43">
        <f>IF(B14="","",SUMIF(Kostenerfassung!$C$6:$C$80,B14,Kostenerfassung!$J$6:$J$80))</f>
        <v>147.44</v>
      </c>
      <c r="X14" s="44">
        <f t="shared" si="4"/>
        <v>2.8169659915934274E-3</v>
      </c>
    </row>
    <row r="15" spans="1:24" ht="15.75" customHeight="1" x14ac:dyDescent="0.25">
      <c r="A15" s="31">
        <f t="shared" si="0"/>
        <v>10</v>
      </c>
      <c r="B15" s="32" t="s">
        <v>117</v>
      </c>
      <c r="C15" s="33" t="s">
        <v>118</v>
      </c>
      <c r="D15" s="33" t="s">
        <v>119</v>
      </c>
      <c r="E15" s="34" t="s">
        <v>86</v>
      </c>
      <c r="F15" s="34" t="s">
        <v>115</v>
      </c>
      <c r="G15" s="35" t="s">
        <v>120</v>
      </c>
      <c r="H15" s="36">
        <v>45110</v>
      </c>
      <c r="I15" s="36">
        <v>45113</v>
      </c>
      <c r="J15" s="37">
        <v>38400</v>
      </c>
      <c r="K15" s="38">
        <v>18760</v>
      </c>
      <c r="L15" s="33" t="s">
        <v>88</v>
      </c>
      <c r="M15" s="33" t="s">
        <v>89</v>
      </c>
      <c r="N15" s="34" t="s">
        <v>68</v>
      </c>
      <c r="O15" s="36">
        <v>46569</v>
      </c>
      <c r="P15" s="36">
        <v>46569</v>
      </c>
      <c r="Q15" s="36">
        <v>46371</v>
      </c>
      <c r="R15" s="34" t="s">
        <v>69</v>
      </c>
      <c r="S15" s="39">
        <v>298</v>
      </c>
      <c r="T15" s="40">
        <f t="shared" ca="1" si="1"/>
        <v>3.2</v>
      </c>
      <c r="U15" s="41">
        <f t="shared" ca="1" si="2"/>
        <v>274</v>
      </c>
      <c r="V15" s="42" t="str">
        <f t="shared" ca="1" si="3"/>
        <v>OK</v>
      </c>
      <c r="W15" s="43">
        <f>IF(B15="","",SUMIF(Kostenerfassung!$C$6:$C$80,B15,Kostenerfassung!$J$6:$J$80))</f>
        <v>128.4</v>
      </c>
      <c r="X15" s="44">
        <f t="shared" si="4"/>
        <v>6.8443496801705757E-3</v>
      </c>
    </row>
    <row r="16" spans="1:24" ht="15.75" customHeight="1" x14ac:dyDescent="0.25">
      <c r="A16" s="31">
        <f t="shared" si="0"/>
        <v>11</v>
      </c>
      <c r="B16" s="32" t="s">
        <v>121</v>
      </c>
      <c r="C16" s="33" t="s">
        <v>122</v>
      </c>
      <c r="D16" s="33" t="s">
        <v>123</v>
      </c>
      <c r="E16" s="34" t="s">
        <v>72</v>
      </c>
      <c r="F16" s="34" t="s">
        <v>124</v>
      </c>
      <c r="G16" s="35" t="s">
        <v>125</v>
      </c>
      <c r="H16" s="36">
        <v>44680</v>
      </c>
      <c r="I16" s="36">
        <v>44683</v>
      </c>
      <c r="J16" s="37">
        <v>30100</v>
      </c>
      <c r="K16" s="38">
        <v>64180</v>
      </c>
      <c r="L16" s="33" t="s">
        <v>126</v>
      </c>
      <c r="M16" s="33" t="s">
        <v>67</v>
      </c>
      <c r="N16" s="34" t="s">
        <v>68</v>
      </c>
      <c r="O16" s="36">
        <v>46327</v>
      </c>
      <c r="P16" s="36">
        <v>46447</v>
      </c>
      <c r="Q16" s="36">
        <v>46407</v>
      </c>
      <c r="R16" s="34" t="s">
        <v>82</v>
      </c>
      <c r="S16" s="39"/>
      <c r="T16" s="40">
        <f t="shared" ca="1" si="1"/>
        <v>4.4000000000000004</v>
      </c>
      <c r="U16" s="41">
        <f t="shared" ca="1" si="2"/>
        <v>32</v>
      </c>
      <c r="V16" s="42" t="str">
        <f t="shared" ca="1" si="3"/>
        <v>Bald fällig</v>
      </c>
      <c r="W16" s="43">
        <f>IF(B16="","",SUMIF(Kostenerfassung!$C$6:$C$80,B16,Kostenerfassung!$J$6:$J$80))</f>
        <v>234.79</v>
      </c>
      <c r="X16" s="44">
        <f t="shared" si="4"/>
        <v>3.6583047678404486E-3</v>
      </c>
    </row>
    <row r="17" spans="1:24" ht="15.75" customHeight="1" x14ac:dyDescent="0.25">
      <c r="A17" s="31">
        <f t="shared" si="0"/>
        <v>12</v>
      </c>
      <c r="B17" s="32" t="s">
        <v>127</v>
      </c>
      <c r="C17" s="33" t="s">
        <v>128</v>
      </c>
      <c r="D17" s="33" t="s">
        <v>129</v>
      </c>
      <c r="E17" s="34" t="s">
        <v>130</v>
      </c>
      <c r="F17" s="34" t="s">
        <v>64</v>
      </c>
      <c r="G17" s="35" t="s">
        <v>131</v>
      </c>
      <c r="H17" s="36">
        <v>44118</v>
      </c>
      <c r="I17" s="36">
        <v>44124</v>
      </c>
      <c r="J17" s="37">
        <v>51200</v>
      </c>
      <c r="K17" s="38">
        <v>142060</v>
      </c>
      <c r="L17" s="33" t="s">
        <v>132</v>
      </c>
      <c r="M17" s="33" t="s">
        <v>99</v>
      </c>
      <c r="N17" s="34" t="s">
        <v>68</v>
      </c>
      <c r="O17" s="36">
        <v>46357</v>
      </c>
      <c r="P17" s="36">
        <v>46433</v>
      </c>
      <c r="Q17" s="36">
        <v>46325</v>
      </c>
      <c r="R17" s="34" t="s">
        <v>53</v>
      </c>
      <c r="S17" s="39">
        <v>524</v>
      </c>
      <c r="T17" s="40">
        <f t="shared" ca="1" si="1"/>
        <v>6</v>
      </c>
      <c r="U17" s="41">
        <f t="shared" ca="1" si="2"/>
        <v>62</v>
      </c>
      <c r="V17" s="42" t="str">
        <f t="shared" ca="1" si="3"/>
        <v>OK</v>
      </c>
      <c r="W17" s="43">
        <f>IF(B17="","",SUMIF(Kostenerfassung!$C$6:$C$80,B17,Kostenerfassung!$J$6:$J$80))</f>
        <v>1899.78</v>
      </c>
      <c r="X17" s="44">
        <f t="shared" si="4"/>
        <v>1.3373081796424047E-2</v>
      </c>
    </row>
    <row r="18" spans="1:24" ht="15.75" customHeight="1" x14ac:dyDescent="0.25">
      <c r="A18" s="31">
        <f t="shared" si="0"/>
        <v>13</v>
      </c>
      <c r="B18" s="32" t="s">
        <v>133</v>
      </c>
      <c r="C18" s="33" t="s">
        <v>134</v>
      </c>
      <c r="D18" s="33" t="s">
        <v>135</v>
      </c>
      <c r="E18" s="34" t="s">
        <v>86</v>
      </c>
      <c r="F18" s="34" t="s">
        <v>64</v>
      </c>
      <c r="G18" s="35" t="s">
        <v>136</v>
      </c>
      <c r="H18" s="36">
        <v>43717</v>
      </c>
      <c r="I18" s="36">
        <v>43720</v>
      </c>
      <c r="J18" s="37">
        <v>33900</v>
      </c>
      <c r="K18" s="38">
        <v>167540</v>
      </c>
      <c r="L18" s="33" t="s">
        <v>88</v>
      </c>
      <c r="M18" s="33" t="s">
        <v>99</v>
      </c>
      <c r="N18" s="34" t="s">
        <v>137</v>
      </c>
      <c r="O18" s="36">
        <v>46204</v>
      </c>
      <c r="P18" s="36">
        <v>46266</v>
      </c>
      <c r="Q18" s="36">
        <v>46218</v>
      </c>
      <c r="R18" s="34" t="s">
        <v>82</v>
      </c>
      <c r="S18" s="39"/>
      <c r="T18" s="40">
        <f t="shared" ca="1" si="1"/>
        <v>7.1</v>
      </c>
      <c r="U18" s="41">
        <f t="shared" ca="1" si="2"/>
        <v>-91</v>
      </c>
      <c r="V18" s="42" t="str">
        <f t="shared" ca="1" si="3"/>
        <v>Überfällig</v>
      </c>
      <c r="W18" s="43">
        <f>IF(B18="","",SUMIF(Kostenerfassung!$C$6:$C$80,B18,Kostenerfassung!$J$6:$J$80))</f>
        <v>666.12</v>
      </c>
      <c r="X18" s="44">
        <f t="shared" si="4"/>
        <v>3.9758863554971947E-3</v>
      </c>
    </row>
    <row r="19" spans="1:24" ht="15.75" customHeight="1" x14ac:dyDescent="0.25">
      <c r="A19" s="31" t="str">
        <f t="shared" si="0"/>
        <v/>
      </c>
      <c r="B19" s="34"/>
      <c r="C19" s="34"/>
      <c r="D19" s="34"/>
      <c r="E19" s="34"/>
      <c r="F19" s="34"/>
      <c r="G19" s="34"/>
      <c r="H19" s="36"/>
      <c r="I19" s="36"/>
      <c r="J19" s="37"/>
      <c r="K19" s="38"/>
      <c r="L19" s="34"/>
      <c r="M19" s="34"/>
      <c r="N19" s="34"/>
      <c r="O19" s="36"/>
      <c r="P19" s="36"/>
      <c r="Q19" s="36"/>
      <c r="R19" s="34"/>
      <c r="S19" s="39"/>
      <c r="T19" s="40" t="str">
        <f t="shared" ca="1" si="1"/>
        <v/>
      </c>
      <c r="U19" s="41" t="str">
        <f t="shared" ca="1" si="2"/>
        <v/>
      </c>
      <c r="V19" s="42" t="str">
        <f t="shared" ca="1" si="3"/>
        <v/>
      </c>
      <c r="W19" s="43" t="str">
        <f>IF(B19="","",SUMIF(Kostenerfassung!$C$6:$C$80,B19,Kostenerfassung!$J$6:$J$80))</f>
        <v/>
      </c>
      <c r="X19" s="44" t="str">
        <f t="shared" si="4"/>
        <v/>
      </c>
    </row>
    <row r="20" spans="1:24" ht="15.75" customHeight="1" x14ac:dyDescent="0.25">
      <c r="A20" s="31" t="str">
        <f t="shared" si="0"/>
        <v/>
      </c>
      <c r="B20" s="34"/>
      <c r="C20" s="34"/>
      <c r="D20" s="34"/>
      <c r="E20" s="34"/>
      <c r="F20" s="34"/>
      <c r="G20" s="34"/>
      <c r="H20" s="36"/>
      <c r="I20" s="36"/>
      <c r="J20" s="37"/>
      <c r="K20" s="38"/>
      <c r="L20" s="34"/>
      <c r="M20" s="34"/>
      <c r="N20" s="34"/>
      <c r="O20" s="36"/>
      <c r="P20" s="36"/>
      <c r="Q20" s="36"/>
      <c r="R20" s="34"/>
      <c r="S20" s="39"/>
      <c r="T20" s="40" t="str">
        <f t="shared" ca="1" si="1"/>
        <v/>
      </c>
      <c r="U20" s="41" t="str">
        <f t="shared" ca="1" si="2"/>
        <v/>
      </c>
      <c r="V20" s="42" t="str">
        <f t="shared" ca="1" si="3"/>
        <v/>
      </c>
      <c r="W20" s="43" t="str">
        <f>IF(B20="","",SUMIF(Kostenerfassung!$C$6:$C$80,B20,Kostenerfassung!$J$6:$J$80))</f>
        <v/>
      </c>
      <c r="X20" s="44" t="str">
        <f t="shared" si="4"/>
        <v/>
      </c>
    </row>
    <row r="21" spans="1:24" ht="15.75" customHeight="1" x14ac:dyDescent="0.25">
      <c r="A21" s="31" t="str">
        <f t="shared" si="0"/>
        <v/>
      </c>
      <c r="B21" s="34"/>
      <c r="C21" s="34"/>
      <c r="D21" s="34"/>
      <c r="E21" s="34"/>
      <c r="F21" s="34"/>
      <c r="G21" s="34"/>
      <c r="H21" s="36"/>
      <c r="I21" s="36"/>
      <c r="J21" s="37"/>
      <c r="K21" s="38"/>
      <c r="L21" s="34"/>
      <c r="M21" s="34"/>
      <c r="N21" s="34"/>
      <c r="O21" s="36"/>
      <c r="P21" s="36"/>
      <c r="Q21" s="36"/>
      <c r="R21" s="34"/>
      <c r="S21" s="39"/>
      <c r="T21" s="40" t="str">
        <f t="shared" ca="1" si="1"/>
        <v/>
      </c>
      <c r="U21" s="41" t="str">
        <f t="shared" ca="1" si="2"/>
        <v/>
      </c>
      <c r="V21" s="42" t="str">
        <f t="shared" ca="1" si="3"/>
        <v/>
      </c>
      <c r="W21" s="43" t="str">
        <f>IF(B21="","",SUMIF(Kostenerfassung!$C$6:$C$80,B21,Kostenerfassung!$J$6:$J$80))</f>
        <v/>
      </c>
      <c r="X21" s="44" t="str">
        <f t="shared" si="4"/>
        <v/>
      </c>
    </row>
    <row r="22" spans="1:24" ht="15.75" customHeight="1" x14ac:dyDescent="0.25">
      <c r="A22" s="31" t="str">
        <f t="shared" si="0"/>
        <v/>
      </c>
      <c r="B22" s="34"/>
      <c r="C22" s="34"/>
      <c r="D22" s="34"/>
      <c r="E22" s="34"/>
      <c r="F22" s="34"/>
      <c r="G22" s="34"/>
      <c r="H22" s="36"/>
      <c r="I22" s="36"/>
      <c r="J22" s="37"/>
      <c r="K22" s="38"/>
      <c r="L22" s="34"/>
      <c r="M22" s="34"/>
      <c r="N22" s="34"/>
      <c r="O22" s="36"/>
      <c r="P22" s="36"/>
      <c r="Q22" s="36"/>
      <c r="R22" s="34"/>
      <c r="S22" s="39"/>
      <c r="T22" s="40" t="str">
        <f t="shared" ca="1" si="1"/>
        <v/>
      </c>
      <c r="U22" s="41" t="str">
        <f t="shared" ca="1" si="2"/>
        <v/>
      </c>
      <c r="V22" s="42" t="str">
        <f t="shared" ca="1" si="3"/>
        <v/>
      </c>
      <c r="W22" s="43" t="str">
        <f>IF(B22="","",SUMIF(Kostenerfassung!$C$6:$C$80,B22,Kostenerfassung!$J$6:$J$80))</f>
        <v/>
      </c>
      <c r="X22" s="44" t="str">
        <f t="shared" si="4"/>
        <v/>
      </c>
    </row>
    <row r="23" spans="1:24" ht="15.75" customHeight="1" x14ac:dyDescent="0.25">
      <c r="A23" s="31" t="str">
        <f t="shared" si="0"/>
        <v/>
      </c>
      <c r="B23" s="34"/>
      <c r="C23" s="34"/>
      <c r="D23" s="34"/>
      <c r="E23" s="34"/>
      <c r="F23" s="34"/>
      <c r="G23" s="34"/>
      <c r="H23" s="36"/>
      <c r="I23" s="36"/>
      <c r="J23" s="37"/>
      <c r="K23" s="38"/>
      <c r="L23" s="34"/>
      <c r="M23" s="34"/>
      <c r="N23" s="34"/>
      <c r="O23" s="36"/>
      <c r="P23" s="36"/>
      <c r="Q23" s="36"/>
      <c r="R23" s="34"/>
      <c r="S23" s="39"/>
      <c r="T23" s="40" t="str">
        <f t="shared" ca="1" si="1"/>
        <v/>
      </c>
      <c r="U23" s="41" t="str">
        <f t="shared" ca="1" si="2"/>
        <v/>
      </c>
      <c r="V23" s="42" t="str">
        <f t="shared" ca="1" si="3"/>
        <v/>
      </c>
      <c r="W23" s="43" t="str">
        <f>IF(B23="","",SUMIF(Kostenerfassung!$C$6:$C$80,B23,Kostenerfassung!$J$6:$J$80))</f>
        <v/>
      </c>
      <c r="X23" s="44" t="str">
        <f t="shared" si="4"/>
        <v/>
      </c>
    </row>
    <row r="24" spans="1:24" ht="15.75" customHeight="1" x14ac:dyDescent="0.25">
      <c r="A24" s="31" t="str">
        <f t="shared" si="0"/>
        <v/>
      </c>
      <c r="B24" s="34"/>
      <c r="C24" s="34"/>
      <c r="D24" s="34"/>
      <c r="E24" s="34"/>
      <c r="F24" s="34"/>
      <c r="G24" s="34"/>
      <c r="H24" s="36"/>
      <c r="I24" s="36"/>
      <c r="J24" s="37"/>
      <c r="K24" s="38"/>
      <c r="L24" s="34"/>
      <c r="M24" s="34"/>
      <c r="N24" s="34"/>
      <c r="O24" s="36"/>
      <c r="P24" s="36"/>
      <c r="Q24" s="36"/>
      <c r="R24" s="34"/>
      <c r="S24" s="39"/>
      <c r="T24" s="40" t="str">
        <f t="shared" ca="1" si="1"/>
        <v/>
      </c>
      <c r="U24" s="41" t="str">
        <f t="shared" ca="1" si="2"/>
        <v/>
      </c>
      <c r="V24" s="42" t="str">
        <f t="shared" ca="1" si="3"/>
        <v/>
      </c>
      <c r="W24" s="43" t="str">
        <f>IF(B24="","",SUMIF(Kostenerfassung!$C$6:$C$80,B24,Kostenerfassung!$J$6:$J$80))</f>
        <v/>
      </c>
      <c r="X24" s="44" t="str">
        <f t="shared" si="4"/>
        <v/>
      </c>
    </row>
    <row r="25" spans="1:24" ht="15.75" customHeight="1" x14ac:dyDescent="0.25">
      <c r="A25" s="31" t="str">
        <f t="shared" si="0"/>
        <v/>
      </c>
      <c r="B25" s="34"/>
      <c r="C25" s="34"/>
      <c r="D25" s="34"/>
      <c r="E25" s="34"/>
      <c r="F25" s="34"/>
      <c r="G25" s="34"/>
      <c r="H25" s="36"/>
      <c r="I25" s="36"/>
      <c r="J25" s="37"/>
      <c r="K25" s="38"/>
      <c r="L25" s="34"/>
      <c r="M25" s="34"/>
      <c r="N25" s="34"/>
      <c r="O25" s="36"/>
      <c r="P25" s="36"/>
      <c r="Q25" s="36"/>
      <c r="R25" s="34"/>
      <c r="S25" s="39"/>
      <c r="T25" s="40" t="str">
        <f t="shared" ca="1" si="1"/>
        <v/>
      </c>
      <c r="U25" s="41" t="str">
        <f t="shared" ca="1" si="2"/>
        <v/>
      </c>
      <c r="V25" s="42" t="str">
        <f t="shared" ca="1" si="3"/>
        <v/>
      </c>
      <c r="W25" s="43" t="str">
        <f>IF(B25="","",SUMIF(Kostenerfassung!$C$6:$C$80,B25,Kostenerfassung!$J$6:$J$80))</f>
        <v/>
      </c>
      <c r="X25" s="44" t="str">
        <f t="shared" si="4"/>
        <v/>
      </c>
    </row>
    <row r="26" spans="1:24" ht="15.75" customHeight="1" x14ac:dyDescent="0.25">
      <c r="A26" s="31" t="str">
        <f t="shared" si="0"/>
        <v/>
      </c>
      <c r="B26" s="34"/>
      <c r="C26" s="34"/>
      <c r="D26" s="34"/>
      <c r="E26" s="34"/>
      <c r="F26" s="34"/>
      <c r="G26" s="34"/>
      <c r="H26" s="36"/>
      <c r="I26" s="36"/>
      <c r="J26" s="37"/>
      <c r="K26" s="38"/>
      <c r="L26" s="34"/>
      <c r="M26" s="34"/>
      <c r="N26" s="34"/>
      <c r="O26" s="36"/>
      <c r="P26" s="36"/>
      <c r="Q26" s="36"/>
      <c r="R26" s="34"/>
      <c r="S26" s="39"/>
      <c r="T26" s="40" t="str">
        <f t="shared" ca="1" si="1"/>
        <v/>
      </c>
      <c r="U26" s="41" t="str">
        <f t="shared" ca="1" si="2"/>
        <v/>
      </c>
      <c r="V26" s="42" t="str">
        <f t="shared" ca="1" si="3"/>
        <v/>
      </c>
      <c r="W26" s="43" t="str">
        <f>IF(B26="","",SUMIF(Kostenerfassung!$C$6:$C$80,B26,Kostenerfassung!$J$6:$J$80))</f>
        <v/>
      </c>
      <c r="X26" s="44" t="str">
        <f t="shared" si="4"/>
        <v/>
      </c>
    </row>
    <row r="27" spans="1:24" ht="15.75" customHeight="1" x14ac:dyDescent="0.25">
      <c r="A27" s="31" t="str">
        <f t="shared" si="0"/>
        <v/>
      </c>
      <c r="B27" s="34"/>
      <c r="C27" s="34"/>
      <c r="D27" s="34"/>
      <c r="E27" s="34"/>
      <c r="F27" s="34"/>
      <c r="G27" s="34"/>
      <c r="H27" s="36"/>
      <c r="I27" s="36"/>
      <c r="J27" s="37"/>
      <c r="K27" s="38"/>
      <c r="L27" s="34"/>
      <c r="M27" s="34"/>
      <c r="N27" s="34"/>
      <c r="O27" s="36"/>
      <c r="P27" s="36"/>
      <c r="Q27" s="36"/>
      <c r="R27" s="34"/>
      <c r="S27" s="39"/>
      <c r="T27" s="40" t="str">
        <f t="shared" ca="1" si="1"/>
        <v/>
      </c>
      <c r="U27" s="41" t="str">
        <f t="shared" ca="1" si="2"/>
        <v/>
      </c>
      <c r="V27" s="42" t="str">
        <f t="shared" ca="1" si="3"/>
        <v/>
      </c>
      <c r="W27" s="43" t="str">
        <f>IF(B27="","",SUMIF(Kostenerfassung!$C$6:$C$80,B27,Kostenerfassung!$J$6:$J$80))</f>
        <v/>
      </c>
      <c r="X27" s="44" t="str">
        <f t="shared" si="4"/>
        <v/>
      </c>
    </row>
    <row r="28" spans="1:24" ht="15.75" customHeight="1" x14ac:dyDescent="0.25">
      <c r="A28" s="31" t="str">
        <f t="shared" si="0"/>
        <v/>
      </c>
      <c r="B28" s="34"/>
      <c r="C28" s="34"/>
      <c r="D28" s="34"/>
      <c r="E28" s="34"/>
      <c r="F28" s="34"/>
      <c r="G28" s="34"/>
      <c r="H28" s="36"/>
      <c r="I28" s="36"/>
      <c r="J28" s="37"/>
      <c r="K28" s="38"/>
      <c r="L28" s="34"/>
      <c r="M28" s="34"/>
      <c r="N28" s="34"/>
      <c r="O28" s="36"/>
      <c r="P28" s="36"/>
      <c r="Q28" s="36"/>
      <c r="R28" s="34"/>
      <c r="S28" s="39"/>
      <c r="T28" s="40" t="str">
        <f t="shared" ca="1" si="1"/>
        <v/>
      </c>
      <c r="U28" s="41" t="str">
        <f t="shared" ca="1" si="2"/>
        <v/>
      </c>
      <c r="V28" s="42" t="str">
        <f t="shared" ca="1" si="3"/>
        <v/>
      </c>
      <c r="W28" s="43" t="str">
        <f>IF(B28="","",SUMIF(Kostenerfassung!$C$6:$C$80,B28,Kostenerfassung!$J$6:$J$80))</f>
        <v/>
      </c>
      <c r="X28" s="44" t="str">
        <f t="shared" si="4"/>
        <v/>
      </c>
    </row>
    <row r="29" spans="1:24" ht="15.75" customHeight="1" x14ac:dyDescent="0.25">
      <c r="A29" s="31" t="str">
        <f t="shared" si="0"/>
        <v/>
      </c>
      <c r="B29" s="34"/>
      <c r="C29" s="34"/>
      <c r="D29" s="34"/>
      <c r="E29" s="34"/>
      <c r="F29" s="34"/>
      <c r="G29" s="34"/>
      <c r="H29" s="36"/>
      <c r="I29" s="36"/>
      <c r="J29" s="37"/>
      <c r="K29" s="38"/>
      <c r="L29" s="34"/>
      <c r="M29" s="34"/>
      <c r="N29" s="34"/>
      <c r="O29" s="36"/>
      <c r="P29" s="36"/>
      <c r="Q29" s="36"/>
      <c r="R29" s="34"/>
      <c r="S29" s="39"/>
      <c r="T29" s="40" t="str">
        <f t="shared" ca="1" si="1"/>
        <v/>
      </c>
      <c r="U29" s="41" t="str">
        <f t="shared" ca="1" si="2"/>
        <v/>
      </c>
      <c r="V29" s="42" t="str">
        <f t="shared" ca="1" si="3"/>
        <v/>
      </c>
      <c r="W29" s="43" t="str">
        <f>IF(B29="","",SUMIF(Kostenerfassung!$C$6:$C$80,B29,Kostenerfassung!$J$6:$J$80))</f>
        <v/>
      </c>
      <c r="X29" s="44" t="str">
        <f t="shared" si="4"/>
        <v/>
      </c>
    </row>
    <row r="30" spans="1:24" ht="15.75" customHeight="1" x14ac:dyDescent="0.25">
      <c r="A30" s="31" t="str">
        <f t="shared" si="0"/>
        <v/>
      </c>
      <c r="B30" s="34"/>
      <c r="C30" s="34"/>
      <c r="D30" s="34"/>
      <c r="E30" s="34"/>
      <c r="F30" s="34"/>
      <c r="G30" s="34"/>
      <c r="H30" s="36"/>
      <c r="I30" s="36"/>
      <c r="J30" s="37"/>
      <c r="K30" s="38"/>
      <c r="L30" s="34"/>
      <c r="M30" s="34"/>
      <c r="N30" s="34"/>
      <c r="O30" s="36"/>
      <c r="P30" s="36"/>
      <c r="Q30" s="36"/>
      <c r="R30" s="34"/>
      <c r="S30" s="39"/>
      <c r="T30" s="40" t="str">
        <f t="shared" ca="1" si="1"/>
        <v/>
      </c>
      <c r="U30" s="41" t="str">
        <f t="shared" ca="1" si="2"/>
        <v/>
      </c>
      <c r="V30" s="42" t="str">
        <f t="shared" ca="1" si="3"/>
        <v/>
      </c>
      <c r="W30" s="43" t="str">
        <f>IF(B30="","",SUMIF(Kostenerfassung!$C$6:$C$80,B30,Kostenerfassung!$J$6:$J$80))</f>
        <v/>
      </c>
      <c r="X30" s="44" t="str">
        <f t="shared" si="4"/>
        <v/>
      </c>
    </row>
    <row r="31" spans="1:24" ht="15.75" customHeight="1" x14ac:dyDescent="0.25">
      <c r="A31" s="31" t="str">
        <f t="shared" si="0"/>
        <v/>
      </c>
      <c r="B31" s="34"/>
      <c r="C31" s="34"/>
      <c r="D31" s="34"/>
      <c r="E31" s="34"/>
      <c r="F31" s="34"/>
      <c r="G31" s="34"/>
      <c r="H31" s="36"/>
      <c r="I31" s="36"/>
      <c r="J31" s="37"/>
      <c r="K31" s="38"/>
      <c r="L31" s="34"/>
      <c r="M31" s="34"/>
      <c r="N31" s="34"/>
      <c r="O31" s="36"/>
      <c r="P31" s="36"/>
      <c r="Q31" s="36"/>
      <c r="R31" s="34"/>
      <c r="S31" s="39"/>
      <c r="T31" s="40" t="str">
        <f t="shared" ca="1" si="1"/>
        <v/>
      </c>
      <c r="U31" s="41" t="str">
        <f t="shared" ca="1" si="2"/>
        <v/>
      </c>
      <c r="V31" s="42" t="str">
        <f t="shared" ca="1" si="3"/>
        <v/>
      </c>
      <c r="W31" s="43" t="str">
        <f>IF(B31="","",SUMIF(Kostenerfassung!$C$6:$C$80,B31,Kostenerfassung!$J$6:$J$80))</f>
        <v/>
      </c>
      <c r="X31" s="44" t="str">
        <f t="shared" si="4"/>
        <v/>
      </c>
    </row>
    <row r="32" spans="1:24" ht="15.75" customHeight="1" x14ac:dyDescent="0.25">
      <c r="A32" s="31" t="str">
        <f t="shared" si="0"/>
        <v/>
      </c>
      <c r="B32" s="34"/>
      <c r="C32" s="34"/>
      <c r="D32" s="34"/>
      <c r="E32" s="34"/>
      <c r="F32" s="34"/>
      <c r="G32" s="34"/>
      <c r="H32" s="36"/>
      <c r="I32" s="36"/>
      <c r="J32" s="37"/>
      <c r="K32" s="38"/>
      <c r="L32" s="34"/>
      <c r="M32" s="34"/>
      <c r="N32" s="34"/>
      <c r="O32" s="36"/>
      <c r="P32" s="36"/>
      <c r="Q32" s="36"/>
      <c r="R32" s="34"/>
      <c r="S32" s="39"/>
      <c r="T32" s="40" t="str">
        <f t="shared" ca="1" si="1"/>
        <v/>
      </c>
      <c r="U32" s="41" t="str">
        <f t="shared" ca="1" si="2"/>
        <v/>
      </c>
      <c r="V32" s="42" t="str">
        <f t="shared" ca="1" si="3"/>
        <v/>
      </c>
      <c r="W32" s="43" t="str">
        <f>IF(B32="","",SUMIF(Kostenerfassung!$C$6:$C$80,B32,Kostenerfassung!$J$6:$J$80))</f>
        <v/>
      </c>
      <c r="X32" s="44" t="str">
        <f t="shared" si="4"/>
        <v/>
      </c>
    </row>
    <row r="33" spans="1:24" ht="15.75" customHeight="1" x14ac:dyDescent="0.25">
      <c r="A33" s="31" t="str">
        <f t="shared" si="0"/>
        <v/>
      </c>
      <c r="B33" s="34"/>
      <c r="C33" s="34"/>
      <c r="D33" s="34"/>
      <c r="E33" s="34"/>
      <c r="F33" s="34"/>
      <c r="G33" s="34"/>
      <c r="H33" s="36"/>
      <c r="I33" s="36"/>
      <c r="J33" s="37"/>
      <c r="K33" s="38"/>
      <c r="L33" s="34"/>
      <c r="M33" s="34"/>
      <c r="N33" s="34"/>
      <c r="O33" s="36"/>
      <c r="P33" s="36"/>
      <c r="Q33" s="36"/>
      <c r="R33" s="34"/>
      <c r="S33" s="39"/>
      <c r="T33" s="40" t="str">
        <f t="shared" ca="1" si="1"/>
        <v/>
      </c>
      <c r="U33" s="41" t="str">
        <f t="shared" ca="1" si="2"/>
        <v/>
      </c>
      <c r="V33" s="42" t="str">
        <f t="shared" ca="1" si="3"/>
        <v/>
      </c>
      <c r="W33" s="43" t="str">
        <f>IF(B33="","",SUMIF(Kostenerfassung!$C$6:$C$80,B33,Kostenerfassung!$J$6:$J$80))</f>
        <v/>
      </c>
      <c r="X33" s="44" t="str">
        <f t="shared" si="4"/>
        <v/>
      </c>
    </row>
    <row r="34" spans="1:24" ht="15.75" customHeight="1" x14ac:dyDescent="0.25">
      <c r="A34" s="31" t="str">
        <f t="shared" si="0"/>
        <v/>
      </c>
      <c r="B34" s="34"/>
      <c r="C34" s="34"/>
      <c r="D34" s="34"/>
      <c r="E34" s="34"/>
      <c r="F34" s="34"/>
      <c r="G34" s="34"/>
      <c r="H34" s="36"/>
      <c r="I34" s="36"/>
      <c r="J34" s="37"/>
      <c r="K34" s="38"/>
      <c r="L34" s="34"/>
      <c r="M34" s="34"/>
      <c r="N34" s="34"/>
      <c r="O34" s="36"/>
      <c r="P34" s="36"/>
      <c r="Q34" s="36"/>
      <c r="R34" s="34"/>
      <c r="S34" s="39"/>
      <c r="T34" s="40" t="str">
        <f t="shared" ca="1" si="1"/>
        <v/>
      </c>
      <c r="U34" s="41" t="str">
        <f t="shared" ca="1" si="2"/>
        <v/>
      </c>
      <c r="V34" s="42" t="str">
        <f t="shared" ca="1" si="3"/>
        <v/>
      </c>
      <c r="W34" s="43" t="str">
        <f>IF(B34="","",SUMIF(Kostenerfassung!$C$6:$C$80,B34,Kostenerfassung!$J$6:$J$80))</f>
        <v/>
      </c>
      <c r="X34" s="44" t="str">
        <f t="shared" si="4"/>
        <v/>
      </c>
    </row>
    <row r="35" spans="1:24" ht="15.75" customHeight="1" x14ac:dyDescent="0.25">
      <c r="A35" s="31" t="str">
        <f t="shared" si="0"/>
        <v/>
      </c>
      <c r="B35" s="34"/>
      <c r="C35" s="34"/>
      <c r="D35" s="34"/>
      <c r="E35" s="34"/>
      <c r="F35" s="34"/>
      <c r="G35" s="34"/>
      <c r="H35" s="36"/>
      <c r="I35" s="36"/>
      <c r="J35" s="37"/>
      <c r="K35" s="38"/>
      <c r="L35" s="34"/>
      <c r="M35" s="34"/>
      <c r="N35" s="34"/>
      <c r="O35" s="36"/>
      <c r="P35" s="36"/>
      <c r="Q35" s="36"/>
      <c r="R35" s="34"/>
      <c r="S35" s="39"/>
      <c r="T35" s="40" t="str">
        <f t="shared" ca="1" si="1"/>
        <v/>
      </c>
      <c r="U35" s="41" t="str">
        <f t="shared" ca="1" si="2"/>
        <v/>
      </c>
      <c r="V35" s="42" t="str">
        <f t="shared" ca="1" si="3"/>
        <v/>
      </c>
      <c r="W35" s="43" t="str">
        <f>IF(B35="","",SUMIF(Kostenerfassung!$C$6:$C$80,B35,Kostenerfassung!$J$6:$J$80))</f>
        <v/>
      </c>
      <c r="X35" s="44" t="str">
        <f t="shared" si="4"/>
        <v/>
      </c>
    </row>
    <row r="36" spans="1:24" ht="15.75" customHeight="1" x14ac:dyDescent="0.25">
      <c r="A36" s="31" t="str">
        <f t="shared" si="0"/>
        <v/>
      </c>
      <c r="B36" s="34"/>
      <c r="C36" s="34"/>
      <c r="D36" s="34"/>
      <c r="E36" s="34"/>
      <c r="F36" s="34"/>
      <c r="G36" s="34"/>
      <c r="H36" s="36"/>
      <c r="I36" s="36"/>
      <c r="J36" s="37"/>
      <c r="K36" s="38"/>
      <c r="L36" s="34"/>
      <c r="M36" s="34"/>
      <c r="N36" s="34"/>
      <c r="O36" s="36"/>
      <c r="P36" s="36"/>
      <c r="Q36" s="36"/>
      <c r="R36" s="34"/>
      <c r="S36" s="39"/>
      <c r="T36" s="40" t="str">
        <f t="shared" ca="1" si="1"/>
        <v/>
      </c>
      <c r="U36" s="41" t="str">
        <f t="shared" ca="1" si="2"/>
        <v/>
      </c>
      <c r="V36" s="42" t="str">
        <f t="shared" ca="1" si="3"/>
        <v/>
      </c>
      <c r="W36" s="43" t="str">
        <f>IF(B36="","",SUMIF(Kostenerfassung!$C$6:$C$80,B36,Kostenerfassung!$J$6:$J$80))</f>
        <v/>
      </c>
      <c r="X36" s="44" t="str">
        <f t="shared" si="4"/>
        <v/>
      </c>
    </row>
    <row r="37" spans="1:24" ht="15.75" customHeight="1" x14ac:dyDescent="0.25">
      <c r="A37" s="31" t="str">
        <f t="shared" si="0"/>
        <v/>
      </c>
      <c r="B37" s="34"/>
      <c r="C37" s="34"/>
      <c r="D37" s="34"/>
      <c r="E37" s="34"/>
      <c r="F37" s="34"/>
      <c r="G37" s="34"/>
      <c r="H37" s="36"/>
      <c r="I37" s="36"/>
      <c r="J37" s="37"/>
      <c r="K37" s="38"/>
      <c r="L37" s="34"/>
      <c r="M37" s="34"/>
      <c r="N37" s="34"/>
      <c r="O37" s="36"/>
      <c r="P37" s="36"/>
      <c r="Q37" s="36"/>
      <c r="R37" s="34"/>
      <c r="S37" s="39"/>
      <c r="T37" s="40" t="str">
        <f t="shared" ca="1" si="1"/>
        <v/>
      </c>
      <c r="U37" s="41" t="str">
        <f t="shared" ca="1" si="2"/>
        <v/>
      </c>
      <c r="V37" s="42" t="str">
        <f t="shared" ca="1" si="3"/>
        <v/>
      </c>
      <c r="W37" s="43" t="str">
        <f>IF(B37="","",SUMIF(Kostenerfassung!$C$6:$C$80,B37,Kostenerfassung!$J$6:$J$80))</f>
        <v/>
      </c>
      <c r="X37" s="44" t="str">
        <f t="shared" si="4"/>
        <v/>
      </c>
    </row>
    <row r="38" spans="1:24" ht="15.75" customHeight="1" x14ac:dyDescent="0.25">
      <c r="A38" s="31" t="str">
        <f t="shared" si="0"/>
        <v/>
      </c>
      <c r="B38" s="34"/>
      <c r="C38" s="34"/>
      <c r="D38" s="34"/>
      <c r="E38" s="34"/>
      <c r="F38" s="34"/>
      <c r="G38" s="34"/>
      <c r="H38" s="36"/>
      <c r="I38" s="36"/>
      <c r="J38" s="37"/>
      <c r="K38" s="38"/>
      <c r="L38" s="34"/>
      <c r="M38" s="34"/>
      <c r="N38" s="34"/>
      <c r="O38" s="36"/>
      <c r="P38" s="36"/>
      <c r="Q38" s="36"/>
      <c r="R38" s="34"/>
      <c r="S38" s="39"/>
      <c r="T38" s="40" t="str">
        <f t="shared" ca="1" si="1"/>
        <v/>
      </c>
      <c r="U38" s="41" t="str">
        <f t="shared" ca="1" si="2"/>
        <v/>
      </c>
      <c r="V38" s="42" t="str">
        <f t="shared" ca="1" si="3"/>
        <v/>
      </c>
      <c r="W38" s="43" t="str">
        <f>IF(B38="","",SUMIF(Kostenerfassung!$C$6:$C$80,B38,Kostenerfassung!$J$6:$J$80))</f>
        <v/>
      </c>
      <c r="X38" s="44" t="str">
        <f t="shared" si="4"/>
        <v/>
      </c>
    </row>
    <row r="39" spans="1:24" ht="15.75" customHeight="1" x14ac:dyDescent="0.25">
      <c r="A39" s="31" t="str">
        <f t="shared" si="0"/>
        <v/>
      </c>
      <c r="B39" s="34"/>
      <c r="C39" s="34"/>
      <c r="D39" s="34"/>
      <c r="E39" s="34"/>
      <c r="F39" s="34"/>
      <c r="G39" s="34"/>
      <c r="H39" s="36"/>
      <c r="I39" s="36"/>
      <c r="J39" s="37"/>
      <c r="K39" s="38"/>
      <c r="L39" s="34"/>
      <c r="M39" s="34"/>
      <c r="N39" s="34"/>
      <c r="O39" s="36"/>
      <c r="P39" s="36"/>
      <c r="Q39" s="36"/>
      <c r="R39" s="34"/>
      <c r="S39" s="39"/>
      <c r="T39" s="40" t="str">
        <f t="shared" ca="1" si="1"/>
        <v/>
      </c>
      <c r="U39" s="41" t="str">
        <f t="shared" ca="1" si="2"/>
        <v/>
      </c>
      <c r="V39" s="42" t="str">
        <f t="shared" ca="1" si="3"/>
        <v/>
      </c>
      <c r="W39" s="43" t="str">
        <f>IF(B39="","",SUMIF(Kostenerfassung!$C$6:$C$80,B39,Kostenerfassung!$J$6:$J$80))</f>
        <v/>
      </c>
      <c r="X39" s="44" t="str">
        <f t="shared" si="4"/>
        <v/>
      </c>
    </row>
    <row r="40" spans="1:24" ht="15.75" customHeight="1" x14ac:dyDescent="0.25">
      <c r="A40" s="31" t="str">
        <f t="shared" si="0"/>
        <v/>
      </c>
      <c r="B40" s="34"/>
      <c r="C40" s="34"/>
      <c r="D40" s="34"/>
      <c r="E40" s="34"/>
      <c r="F40" s="34"/>
      <c r="G40" s="34"/>
      <c r="H40" s="36"/>
      <c r="I40" s="36"/>
      <c r="J40" s="37"/>
      <c r="K40" s="38"/>
      <c r="L40" s="34"/>
      <c r="M40" s="34"/>
      <c r="N40" s="34"/>
      <c r="O40" s="36"/>
      <c r="P40" s="36"/>
      <c r="Q40" s="36"/>
      <c r="R40" s="34"/>
      <c r="S40" s="39"/>
      <c r="T40" s="40" t="str">
        <f t="shared" ca="1" si="1"/>
        <v/>
      </c>
      <c r="U40" s="41" t="str">
        <f t="shared" ca="1" si="2"/>
        <v/>
      </c>
      <c r="V40" s="42" t="str">
        <f t="shared" ca="1" si="3"/>
        <v/>
      </c>
      <c r="W40" s="43" t="str">
        <f>IF(B40="","",SUMIF(Kostenerfassung!$C$6:$C$80,B40,Kostenerfassung!$J$6:$J$80))</f>
        <v/>
      </c>
      <c r="X40" s="44" t="str">
        <f t="shared" si="4"/>
        <v/>
      </c>
    </row>
  </sheetData>
  <autoFilter ref="A5:X40" xr:uid="{00000000-0009-0000-0000-000001000000}"/>
  <mergeCells count="5">
    <mergeCell ref="A1:X1"/>
    <mergeCell ref="A2:X2"/>
    <mergeCell ref="A3:X3"/>
    <mergeCell ref="A4:D4"/>
    <mergeCell ref="F4:X4"/>
  </mergeCells>
  <conditionalFormatting sqref="N6:N40">
    <cfRule type="cellIs" dxfId="14" priority="5" operator="equal">
      <formula>"Aktiv"</formula>
    </cfRule>
    <cfRule type="cellIs" dxfId="13" priority="6" operator="equal">
      <formula>"In Werkstatt"</formula>
    </cfRule>
    <cfRule type="cellIs" dxfId="12" priority="7" operator="equal">
      <formula>"Stillgelegt"</formula>
    </cfRule>
    <cfRule type="cellIs" dxfId="11" priority="8" operator="equal">
      <formula>"Verkauft"</formula>
    </cfRule>
  </conditionalFormatting>
  <conditionalFormatting sqref="U6:U40">
    <cfRule type="cellIs" dxfId="10" priority="9" operator="lessThan">
      <formula>0</formula>
    </cfRule>
  </conditionalFormatting>
  <conditionalFormatting sqref="V6:V40">
    <cfRule type="cellIs" dxfId="9" priority="2" operator="equal">
      <formula>"Überfällig"</formula>
    </cfRule>
    <cfRule type="cellIs" dxfId="8" priority="3" operator="equal">
      <formula>"Bald fällig"</formula>
    </cfRule>
    <cfRule type="cellIs" dxfId="7" priority="4" operator="equal">
      <formula>"OK"</formula>
    </cfRule>
  </conditionalFormatting>
  <dataValidations count="4">
    <dataValidation type="list" allowBlank="1" sqref="E6:E40" xr:uid="{00000000-0002-0000-0100-000000000000}">
      <formula1>"PKW,Kombi,Transporter,LKW,Anhänger,Sonstiges"</formula1>
      <formula2>0</formula2>
    </dataValidation>
    <dataValidation type="list" allowBlank="1" sqref="F6:F40" xr:uid="{00000000-0002-0000-0100-000001000000}">
      <formula1>"Benzin,Diesel,Elektro,Hybrid,Erdgas,Sonstiges"</formula1>
      <formula2>0</formula2>
    </dataValidation>
    <dataValidation type="list" allowBlank="1" sqref="N6:N40" xr:uid="{00000000-0002-0000-0100-000002000000}">
      <formula1>"Aktiv,In Werkstatt,Stillgelegt,Verkauft"</formula1>
      <formula2>0</formula2>
    </dataValidation>
    <dataValidation type="list" allowBlank="1" sqref="R6:R40" xr:uid="{00000000-0002-0000-0100-000003000000}">
      <formula1>"Kauf,Leasing,Finanzierung"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82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8.7109375" defaultRowHeight="15" x14ac:dyDescent="0.25"/>
  <cols>
    <col min="1" max="1" width="4.42578125" customWidth="1"/>
    <col min="2" max="2" width="11.42578125" customWidth="1"/>
    <col min="3" max="3" width="12.42578125" customWidth="1"/>
    <col min="4" max="4" width="20" customWidth="1"/>
    <col min="5" max="5" width="30" customWidth="1"/>
    <col min="6" max="6" width="10" customWidth="1"/>
    <col min="7" max="7" width="11" customWidth="1"/>
    <col min="8" max="8" width="9" customWidth="1"/>
    <col min="9" max="10" width="11" customWidth="1"/>
    <col min="11" max="11" width="12" customWidth="1"/>
    <col min="12" max="12" width="22" customWidth="1"/>
  </cols>
  <sheetData>
    <row r="1" spans="1:12" ht="33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9.5" customHeight="1" x14ac:dyDescent="0.25">
      <c r="A2" s="13" t="s">
        <v>138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3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8" customHeight="1" x14ac:dyDescent="0.25">
      <c r="A4" s="56" t="s">
        <v>139</v>
      </c>
      <c r="B4" s="56"/>
      <c r="C4" s="56"/>
      <c r="D4" s="56"/>
      <c r="E4" s="56"/>
      <c r="G4" s="10" t="s">
        <v>140</v>
      </c>
      <c r="H4" s="10"/>
      <c r="I4" s="10"/>
      <c r="J4" s="10"/>
      <c r="K4" s="10"/>
      <c r="L4" s="10"/>
    </row>
    <row r="5" spans="1:12" ht="25.5" customHeight="1" x14ac:dyDescent="0.25">
      <c r="A5" s="30" t="s">
        <v>39</v>
      </c>
      <c r="B5" s="30" t="s">
        <v>141</v>
      </c>
      <c r="C5" s="30" t="s">
        <v>34</v>
      </c>
      <c r="D5" s="30" t="s">
        <v>14</v>
      </c>
      <c r="E5" s="30" t="s">
        <v>142</v>
      </c>
      <c r="F5" s="30" t="s">
        <v>47</v>
      </c>
      <c r="G5" s="30" t="s">
        <v>143</v>
      </c>
      <c r="H5" s="30" t="s">
        <v>144</v>
      </c>
      <c r="I5" s="30" t="s">
        <v>145</v>
      </c>
      <c r="J5" s="30" t="s">
        <v>15</v>
      </c>
      <c r="K5" s="30" t="s">
        <v>146</v>
      </c>
      <c r="L5" s="30" t="s">
        <v>147</v>
      </c>
    </row>
    <row r="6" spans="1:12" ht="15" customHeight="1" x14ac:dyDescent="0.25">
      <c r="A6" s="31">
        <f t="shared" ref="A6:A37" si="0">IF(C6="","",ROW()-5)</f>
        <v>1</v>
      </c>
      <c r="B6" s="36">
        <v>46030</v>
      </c>
      <c r="C6" s="45" t="s">
        <v>60</v>
      </c>
      <c r="D6" s="33" t="s">
        <v>18</v>
      </c>
      <c r="E6" s="33" t="s">
        <v>148</v>
      </c>
      <c r="F6" s="46"/>
      <c r="G6" s="39">
        <v>1128</v>
      </c>
      <c r="H6" s="47">
        <v>0</v>
      </c>
      <c r="I6" s="48">
        <f t="shared" ref="I6:I37" si="1">IF(G6="","",ROUND(G6*H6,2))</f>
        <v>0</v>
      </c>
      <c r="J6" s="49">
        <f t="shared" ref="J6:J37" si="2">IF(G6="","",G6+I6)</f>
        <v>1128</v>
      </c>
      <c r="K6" s="50" t="s">
        <v>149</v>
      </c>
      <c r="L6" s="33" t="s">
        <v>150</v>
      </c>
    </row>
    <row r="7" spans="1:12" ht="15" customHeight="1" x14ac:dyDescent="0.25">
      <c r="A7" s="31">
        <f t="shared" si="0"/>
        <v>2</v>
      </c>
      <c r="B7" s="36">
        <v>46031</v>
      </c>
      <c r="C7" s="45" t="s">
        <v>83</v>
      </c>
      <c r="D7" s="33" t="s">
        <v>19</v>
      </c>
      <c r="E7" s="33" t="s">
        <v>151</v>
      </c>
      <c r="F7" s="46"/>
      <c r="G7" s="39">
        <v>286</v>
      </c>
      <c r="H7" s="47">
        <v>0</v>
      </c>
      <c r="I7" s="48">
        <f t="shared" si="1"/>
        <v>0</v>
      </c>
      <c r="J7" s="49">
        <f t="shared" si="2"/>
        <v>286</v>
      </c>
      <c r="K7" s="50" t="s">
        <v>152</v>
      </c>
      <c r="L7" s="33" t="s">
        <v>153</v>
      </c>
    </row>
    <row r="8" spans="1:12" ht="15" customHeight="1" x14ac:dyDescent="0.25">
      <c r="A8" s="31">
        <f t="shared" si="0"/>
        <v>3</v>
      </c>
      <c r="B8" s="36">
        <v>46034</v>
      </c>
      <c r="C8" s="45" t="s">
        <v>60</v>
      </c>
      <c r="D8" s="33" t="s">
        <v>16</v>
      </c>
      <c r="E8" s="33" t="s">
        <v>154</v>
      </c>
      <c r="F8" s="46">
        <v>68960</v>
      </c>
      <c r="G8" s="39">
        <v>72.400000000000006</v>
      </c>
      <c r="H8" s="47">
        <v>0.19</v>
      </c>
      <c r="I8" s="48">
        <f t="shared" si="1"/>
        <v>13.76</v>
      </c>
      <c r="J8" s="49">
        <f t="shared" si="2"/>
        <v>86.160000000000011</v>
      </c>
      <c r="K8" s="50" t="s">
        <v>155</v>
      </c>
      <c r="L8" s="33"/>
    </row>
    <row r="9" spans="1:12" ht="15" customHeight="1" x14ac:dyDescent="0.25">
      <c r="A9" s="31">
        <f t="shared" si="0"/>
        <v>4</v>
      </c>
      <c r="B9" s="36">
        <v>46037</v>
      </c>
      <c r="C9" s="45" t="s">
        <v>90</v>
      </c>
      <c r="D9" s="33" t="s">
        <v>16</v>
      </c>
      <c r="E9" s="33" t="s">
        <v>156</v>
      </c>
      <c r="F9" s="46">
        <v>92110</v>
      </c>
      <c r="G9" s="39">
        <v>118.9</v>
      </c>
      <c r="H9" s="47">
        <v>0.19</v>
      </c>
      <c r="I9" s="48">
        <f t="shared" si="1"/>
        <v>22.59</v>
      </c>
      <c r="J9" s="49">
        <f t="shared" si="2"/>
        <v>141.49</v>
      </c>
      <c r="K9" s="50" t="s">
        <v>157</v>
      </c>
      <c r="L9" s="33"/>
    </row>
    <row r="10" spans="1:12" ht="15" customHeight="1" x14ac:dyDescent="0.25">
      <c r="A10" s="31">
        <f t="shared" si="0"/>
        <v>5</v>
      </c>
      <c r="B10" s="36">
        <v>46042</v>
      </c>
      <c r="C10" s="45" t="s">
        <v>101</v>
      </c>
      <c r="D10" s="33" t="s">
        <v>20</v>
      </c>
      <c r="E10" s="33" t="s">
        <v>158</v>
      </c>
      <c r="F10" s="46"/>
      <c r="G10" s="39">
        <v>468</v>
      </c>
      <c r="H10" s="47">
        <v>0.19</v>
      </c>
      <c r="I10" s="48">
        <f t="shared" si="1"/>
        <v>88.92</v>
      </c>
      <c r="J10" s="49">
        <f t="shared" si="2"/>
        <v>556.91999999999996</v>
      </c>
      <c r="K10" s="50" t="s">
        <v>159</v>
      </c>
      <c r="L10" s="33"/>
    </row>
    <row r="11" spans="1:12" ht="15" customHeight="1" x14ac:dyDescent="0.25">
      <c r="A11" s="31">
        <f t="shared" si="0"/>
        <v>6</v>
      </c>
      <c r="B11" s="36">
        <v>46049</v>
      </c>
      <c r="C11" s="45" t="s">
        <v>83</v>
      </c>
      <c r="D11" s="33" t="s">
        <v>17</v>
      </c>
      <c r="E11" s="33" t="s">
        <v>160</v>
      </c>
      <c r="F11" s="46">
        <v>156200</v>
      </c>
      <c r="G11" s="39">
        <v>412.6</v>
      </c>
      <c r="H11" s="47">
        <v>0.19</v>
      </c>
      <c r="I11" s="48">
        <f t="shared" si="1"/>
        <v>78.39</v>
      </c>
      <c r="J11" s="49">
        <f t="shared" si="2"/>
        <v>490.99</v>
      </c>
      <c r="K11" s="50" t="s">
        <v>161</v>
      </c>
      <c r="L11" s="33" t="s">
        <v>162</v>
      </c>
    </row>
    <row r="12" spans="1:12" ht="15" customHeight="1" x14ac:dyDescent="0.25">
      <c r="A12" s="31">
        <f t="shared" si="0"/>
        <v>7</v>
      </c>
      <c r="B12" s="36">
        <v>46056</v>
      </c>
      <c r="C12" s="45" t="s">
        <v>112</v>
      </c>
      <c r="D12" s="33" t="s">
        <v>16</v>
      </c>
      <c r="E12" s="33" t="s">
        <v>163</v>
      </c>
      <c r="F12" s="46">
        <v>50210</v>
      </c>
      <c r="G12" s="39">
        <v>41.8</v>
      </c>
      <c r="H12" s="47">
        <v>0.19</v>
      </c>
      <c r="I12" s="48">
        <f t="shared" si="1"/>
        <v>7.94</v>
      </c>
      <c r="J12" s="49">
        <f t="shared" si="2"/>
        <v>49.739999999999995</v>
      </c>
      <c r="K12" s="50" t="s">
        <v>164</v>
      </c>
      <c r="L12" s="33" t="s">
        <v>165</v>
      </c>
    </row>
    <row r="13" spans="1:12" ht="15" customHeight="1" x14ac:dyDescent="0.25">
      <c r="A13" s="31">
        <f t="shared" si="0"/>
        <v>8</v>
      </c>
      <c r="B13" s="36">
        <v>46063</v>
      </c>
      <c r="C13" s="45" t="s">
        <v>70</v>
      </c>
      <c r="D13" s="33" t="s">
        <v>16</v>
      </c>
      <c r="E13" s="33" t="s">
        <v>154</v>
      </c>
      <c r="F13" s="46">
        <v>109800</v>
      </c>
      <c r="G13" s="39">
        <v>96.2</v>
      </c>
      <c r="H13" s="47">
        <v>0.19</v>
      </c>
      <c r="I13" s="48">
        <f t="shared" si="1"/>
        <v>18.28</v>
      </c>
      <c r="J13" s="49">
        <f t="shared" si="2"/>
        <v>114.48</v>
      </c>
      <c r="K13" s="50" t="s">
        <v>166</v>
      </c>
      <c r="L13" s="33"/>
    </row>
    <row r="14" spans="1:12" ht="15" customHeight="1" x14ac:dyDescent="0.25">
      <c r="A14" s="31">
        <f t="shared" si="0"/>
        <v>9</v>
      </c>
      <c r="B14" s="36">
        <v>46067</v>
      </c>
      <c r="C14" s="45" t="s">
        <v>95</v>
      </c>
      <c r="D14" s="33" t="s">
        <v>21</v>
      </c>
      <c r="E14" s="33" t="s">
        <v>167</v>
      </c>
      <c r="F14" s="46">
        <v>71980</v>
      </c>
      <c r="G14" s="39">
        <v>624</v>
      </c>
      <c r="H14" s="47">
        <v>0.19</v>
      </c>
      <c r="I14" s="48">
        <f t="shared" si="1"/>
        <v>118.56</v>
      </c>
      <c r="J14" s="49">
        <f t="shared" si="2"/>
        <v>742.56</v>
      </c>
      <c r="K14" s="50" t="s">
        <v>168</v>
      </c>
      <c r="L14" s="33"/>
    </row>
    <row r="15" spans="1:12" ht="15" customHeight="1" x14ac:dyDescent="0.25">
      <c r="A15" s="31">
        <f t="shared" si="0"/>
        <v>10</v>
      </c>
      <c r="B15" s="36">
        <v>46071</v>
      </c>
      <c r="C15" s="45" t="s">
        <v>127</v>
      </c>
      <c r="D15" s="33" t="s">
        <v>22</v>
      </c>
      <c r="E15" s="33" t="s">
        <v>169</v>
      </c>
      <c r="F15" s="46"/>
      <c r="G15" s="39">
        <v>214.35</v>
      </c>
      <c r="H15" s="47">
        <v>0.19</v>
      </c>
      <c r="I15" s="48">
        <f t="shared" si="1"/>
        <v>40.729999999999997</v>
      </c>
      <c r="J15" s="49">
        <f t="shared" si="2"/>
        <v>255.07999999999998</v>
      </c>
      <c r="K15" s="50" t="s">
        <v>170</v>
      </c>
      <c r="L15" s="33"/>
    </row>
    <row r="16" spans="1:12" ht="15" customHeight="1" x14ac:dyDescent="0.25">
      <c r="A16" s="31">
        <f t="shared" si="0"/>
        <v>11</v>
      </c>
      <c r="B16" s="36">
        <v>46078</v>
      </c>
      <c r="C16" s="45" t="s">
        <v>107</v>
      </c>
      <c r="D16" s="33" t="s">
        <v>16</v>
      </c>
      <c r="E16" s="33" t="s">
        <v>154</v>
      </c>
      <c r="F16" s="46">
        <v>86300</v>
      </c>
      <c r="G16" s="39">
        <v>88.7</v>
      </c>
      <c r="H16" s="47">
        <v>0.19</v>
      </c>
      <c r="I16" s="48">
        <f t="shared" si="1"/>
        <v>16.850000000000001</v>
      </c>
      <c r="J16" s="49">
        <f t="shared" si="2"/>
        <v>105.55000000000001</v>
      </c>
      <c r="K16" s="50" t="s">
        <v>171</v>
      </c>
      <c r="L16" s="33"/>
    </row>
    <row r="17" spans="1:12" ht="15" customHeight="1" x14ac:dyDescent="0.25">
      <c r="A17" s="31">
        <f t="shared" si="0"/>
        <v>12</v>
      </c>
      <c r="B17" s="36">
        <v>46083</v>
      </c>
      <c r="C17" s="45" t="s">
        <v>60</v>
      </c>
      <c r="D17" s="33" t="s">
        <v>20</v>
      </c>
      <c r="E17" s="33" t="s">
        <v>172</v>
      </c>
      <c r="F17" s="46"/>
      <c r="G17" s="39">
        <v>289</v>
      </c>
      <c r="H17" s="47">
        <v>0.19</v>
      </c>
      <c r="I17" s="48">
        <f t="shared" si="1"/>
        <v>54.91</v>
      </c>
      <c r="J17" s="49">
        <f t="shared" si="2"/>
        <v>343.90999999999997</v>
      </c>
      <c r="K17" s="50" t="s">
        <v>173</v>
      </c>
      <c r="L17" s="33"/>
    </row>
    <row r="18" spans="1:12" ht="15" customHeight="1" x14ac:dyDescent="0.25">
      <c r="A18" s="31">
        <f t="shared" si="0"/>
        <v>13</v>
      </c>
      <c r="B18" s="36">
        <v>46090</v>
      </c>
      <c r="C18" s="45" t="s">
        <v>83</v>
      </c>
      <c r="D18" s="33" t="s">
        <v>16</v>
      </c>
      <c r="E18" s="33" t="s">
        <v>154</v>
      </c>
      <c r="F18" s="46">
        <v>157400</v>
      </c>
      <c r="G18" s="39">
        <v>104.1</v>
      </c>
      <c r="H18" s="47">
        <v>0.19</v>
      </c>
      <c r="I18" s="48">
        <f t="shared" si="1"/>
        <v>19.78</v>
      </c>
      <c r="J18" s="49">
        <f t="shared" si="2"/>
        <v>123.88</v>
      </c>
      <c r="K18" s="50" t="s">
        <v>174</v>
      </c>
      <c r="L18" s="33"/>
    </row>
    <row r="19" spans="1:12" ht="15" customHeight="1" x14ac:dyDescent="0.25">
      <c r="A19" s="31">
        <f t="shared" si="0"/>
        <v>14</v>
      </c>
      <c r="B19" s="36">
        <v>46096</v>
      </c>
      <c r="C19" s="45" t="s">
        <v>127</v>
      </c>
      <c r="D19" s="33" t="s">
        <v>17</v>
      </c>
      <c r="E19" s="33" t="s">
        <v>175</v>
      </c>
      <c r="F19" s="46">
        <v>140900</v>
      </c>
      <c r="G19" s="39">
        <v>689.9</v>
      </c>
      <c r="H19" s="47">
        <v>0.19</v>
      </c>
      <c r="I19" s="48">
        <f t="shared" si="1"/>
        <v>131.08000000000001</v>
      </c>
      <c r="J19" s="49">
        <f t="shared" si="2"/>
        <v>820.98</v>
      </c>
      <c r="K19" s="50" t="s">
        <v>176</v>
      </c>
      <c r="L19" s="33"/>
    </row>
    <row r="20" spans="1:12" ht="15" customHeight="1" x14ac:dyDescent="0.25">
      <c r="A20" s="31">
        <f t="shared" si="0"/>
        <v>15</v>
      </c>
      <c r="B20" s="36">
        <v>46103</v>
      </c>
      <c r="C20" s="45" t="s">
        <v>121</v>
      </c>
      <c r="D20" s="33" t="s">
        <v>16</v>
      </c>
      <c r="E20" s="33" t="s">
        <v>177</v>
      </c>
      <c r="F20" s="46">
        <v>63200</v>
      </c>
      <c r="G20" s="39">
        <v>58.3</v>
      </c>
      <c r="H20" s="47">
        <v>0.19</v>
      </c>
      <c r="I20" s="48">
        <f t="shared" si="1"/>
        <v>11.08</v>
      </c>
      <c r="J20" s="49">
        <f t="shared" si="2"/>
        <v>69.38</v>
      </c>
      <c r="K20" s="50" t="s">
        <v>178</v>
      </c>
      <c r="L20" s="33"/>
    </row>
    <row r="21" spans="1:12" ht="15" customHeight="1" x14ac:dyDescent="0.25">
      <c r="A21" s="31">
        <f t="shared" si="0"/>
        <v>16</v>
      </c>
      <c r="B21" s="36">
        <v>46109</v>
      </c>
      <c r="C21" s="45" t="s">
        <v>117</v>
      </c>
      <c r="D21" s="33" t="s">
        <v>23</v>
      </c>
      <c r="E21" s="33" t="s">
        <v>179</v>
      </c>
      <c r="F21" s="46">
        <v>18100</v>
      </c>
      <c r="G21" s="39">
        <v>79</v>
      </c>
      <c r="H21" s="47">
        <v>0.19</v>
      </c>
      <c r="I21" s="48">
        <f t="shared" si="1"/>
        <v>15.01</v>
      </c>
      <c r="J21" s="49">
        <f t="shared" si="2"/>
        <v>94.01</v>
      </c>
      <c r="K21" s="50" t="s">
        <v>180</v>
      </c>
      <c r="L21" s="33"/>
    </row>
    <row r="22" spans="1:12" ht="15" customHeight="1" x14ac:dyDescent="0.25">
      <c r="A22" s="31">
        <f t="shared" si="0"/>
        <v>17</v>
      </c>
      <c r="B22" s="36">
        <v>46117</v>
      </c>
      <c r="C22" s="45" t="s">
        <v>101</v>
      </c>
      <c r="D22" s="33" t="s">
        <v>16</v>
      </c>
      <c r="E22" s="33" t="s">
        <v>154</v>
      </c>
      <c r="F22" s="46">
        <v>119200</v>
      </c>
      <c r="G22" s="39">
        <v>101.6</v>
      </c>
      <c r="H22" s="47">
        <v>0.19</v>
      </c>
      <c r="I22" s="48">
        <f t="shared" si="1"/>
        <v>19.3</v>
      </c>
      <c r="J22" s="49">
        <f t="shared" si="2"/>
        <v>120.89999999999999</v>
      </c>
      <c r="K22" s="50" t="s">
        <v>181</v>
      </c>
      <c r="L22" s="33"/>
    </row>
    <row r="23" spans="1:12" ht="15" customHeight="1" x14ac:dyDescent="0.25">
      <c r="A23" s="31">
        <f t="shared" si="0"/>
        <v>18</v>
      </c>
      <c r="B23" s="36">
        <v>46123</v>
      </c>
      <c r="C23" s="45" t="s">
        <v>90</v>
      </c>
      <c r="D23" s="33" t="s">
        <v>17</v>
      </c>
      <c r="E23" s="33" t="s">
        <v>182</v>
      </c>
      <c r="F23" s="46">
        <v>94800</v>
      </c>
      <c r="G23" s="39">
        <v>1342</v>
      </c>
      <c r="H23" s="47">
        <v>0.19</v>
      </c>
      <c r="I23" s="48">
        <f t="shared" si="1"/>
        <v>254.98</v>
      </c>
      <c r="J23" s="49">
        <f t="shared" si="2"/>
        <v>1596.98</v>
      </c>
      <c r="K23" s="50" t="s">
        <v>183</v>
      </c>
      <c r="L23" s="33" t="s">
        <v>184</v>
      </c>
    </row>
    <row r="24" spans="1:12" ht="15" customHeight="1" x14ac:dyDescent="0.25">
      <c r="A24" s="31">
        <f t="shared" si="0"/>
        <v>19</v>
      </c>
      <c r="B24" s="36">
        <v>46129</v>
      </c>
      <c r="C24" s="45" t="s">
        <v>70</v>
      </c>
      <c r="D24" s="33" t="s">
        <v>18</v>
      </c>
      <c r="E24" s="33" t="s">
        <v>185</v>
      </c>
      <c r="F24" s="46"/>
      <c r="G24" s="39">
        <v>986</v>
      </c>
      <c r="H24" s="47">
        <v>0</v>
      </c>
      <c r="I24" s="48">
        <f t="shared" si="1"/>
        <v>0</v>
      </c>
      <c r="J24" s="49">
        <f t="shared" si="2"/>
        <v>986</v>
      </c>
      <c r="K24" s="50" t="s">
        <v>186</v>
      </c>
      <c r="L24" s="33"/>
    </row>
    <row r="25" spans="1:12" ht="15" customHeight="1" x14ac:dyDescent="0.25">
      <c r="A25" s="31">
        <f t="shared" si="0"/>
        <v>20</v>
      </c>
      <c r="B25" s="36">
        <v>46136</v>
      </c>
      <c r="C25" s="45" t="s">
        <v>75</v>
      </c>
      <c r="D25" s="33" t="s">
        <v>16</v>
      </c>
      <c r="E25" s="33" t="s">
        <v>177</v>
      </c>
      <c r="F25" s="46">
        <v>39800</v>
      </c>
      <c r="G25" s="39">
        <v>74.5</v>
      </c>
      <c r="H25" s="47">
        <v>0.19</v>
      </c>
      <c r="I25" s="48">
        <f t="shared" si="1"/>
        <v>14.16</v>
      </c>
      <c r="J25" s="49">
        <f t="shared" si="2"/>
        <v>88.66</v>
      </c>
      <c r="K25" s="50" t="s">
        <v>187</v>
      </c>
      <c r="L25" s="33"/>
    </row>
    <row r="26" spans="1:12" ht="15" customHeight="1" x14ac:dyDescent="0.25">
      <c r="A26" s="31">
        <f t="shared" si="0"/>
        <v>21</v>
      </c>
      <c r="B26" s="36">
        <v>46146</v>
      </c>
      <c r="C26" s="45" t="s">
        <v>133</v>
      </c>
      <c r="D26" s="33" t="s">
        <v>19</v>
      </c>
      <c r="E26" s="33" t="s">
        <v>151</v>
      </c>
      <c r="F26" s="46"/>
      <c r="G26" s="39">
        <v>242</v>
      </c>
      <c r="H26" s="47">
        <v>0</v>
      </c>
      <c r="I26" s="48">
        <f t="shared" si="1"/>
        <v>0</v>
      </c>
      <c r="J26" s="49">
        <f t="shared" si="2"/>
        <v>242</v>
      </c>
      <c r="K26" s="50" t="s">
        <v>188</v>
      </c>
      <c r="L26" s="33"/>
    </row>
    <row r="27" spans="1:12" ht="15" customHeight="1" x14ac:dyDescent="0.25">
      <c r="A27" s="31">
        <f t="shared" si="0"/>
        <v>22</v>
      </c>
      <c r="B27" s="36">
        <v>46151</v>
      </c>
      <c r="C27" s="45" t="s">
        <v>112</v>
      </c>
      <c r="D27" s="33" t="s">
        <v>16</v>
      </c>
      <c r="E27" s="33" t="s">
        <v>189</v>
      </c>
      <c r="F27" s="46">
        <v>51600</v>
      </c>
      <c r="G27" s="39">
        <v>33.1</v>
      </c>
      <c r="H27" s="47">
        <v>0.19</v>
      </c>
      <c r="I27" s="48">
        <f t="shared" si="1"/>
        <v>6.29</v>
      </c>
      <c r="J27" s="49">
        <f t="shared" si="2"/>
        <v>39.39</v>
      </c>
      <c r="K27" s="50" t="s">
        <v>190</v>
      </c>
      <c r="L27" s="33"/>
    </row>
    <row r="28" spans="1:12" ht="15" customHeight="1" x14ac:dyDescent="0.25">
      <c r="A28" s="31">
        <f t="shared" si="0"/>
        <v>23</v>
      </c>
      <c r="B28" s="36">
        <v>46158</v>
      </c>
      <c r="C28" s="45" t="s">
        <v>107</v>
      </c>
      <c r="D28" s="33" t="s">
        <v>17</v>
      </c>
      <c r="E28" s="33" t="s">
        <v>191</v>
      </c>
      <c r="F28" s="46">
        <v>88100</v>
      </c>
      <c r="G28" s="39">
        <v>498.2</v>
      </c>
      <c r="H28" s="47">
        <v>0.19</v>
      </c>
      <c r="I28" s="48">
        <f t="shared" si="1"/>
        <v>94.66</v>
      </c>
      <c r="J28" s="49">
        <f t="shared" si="2"/>
        <v>592.86</v>
      </c>
      <c r="K28" s="50" t="s">
        <v>192</v>
      </c>
      <c r="L28" s="33"/>
    </row>
    <row r="29" spans="1:12" ht="15" customHeight="1" x14ac:dyDescent="0.25">
      <c r="A29" s="31">
        <f t="shared" si="0"/>
        <v>24</v>
      </c>
      <c r="B29" s="36">
        <v>46165</v>
      </c>
      <c r="C29" s="45" t="s">
        <v>95</v>
      </c>
      <c r="D29" s="33" t="s">
        <v>16</v>
      </c>
      <c r="E29" s="33" t="s">
        <v>154</v>
      </c>
      <c r="F29" s="46">
        <v>72900</v>
      </c>
      <c r="G29" s="39">
        <v>112.4</v>
      </c>
      <c r="H29" s="47">
        <v>0.19</v>
      </c>
      <c r="I29" s="48">
        <f t="shared" si="1"/>
        <v>21.36</v>
      </c>
      <c r="J29" s="49">
        <f t="shared" si="2"/>
        <v>133.76</v>
      </c>
      <c r="K29" s="50" t="s">
        <v>193</v>
      </c>
      <c r="L29" s="33"/>
    </row>
    <row r="30" spans="1:12" ht="15" customHeight="1" x14ac:dyDescent="0.25">
      <c r="A30" s="31">
        <f t="shared" si="0"/>
        <v>25</v>
      </c>
      <c r="B30" s="36">
        <v>46172</v>
      </c>
      <c r="C30" s="45" t="s">
        <v>60</v>
      </c>
      <c r="D30" s="33" t="s">
        <v>22</v>
      </c>
      <c r="E30" s="33" t="s">
        <v>194</v>
      </c>
      <c r="F30" s="46"/>
      <c r="G30" s="39">
        <v>46.8</v>
      </c>
      <c r="H30" s="47">
        <v>0.19</v>
      </c>
      <c r="I30" s="48">
        <f t="shared" si="1"/>
        <v>8.89</v>
      </c>
      <c r="J30" s="49">
        <f t="shared" si="2"/>
        <v>55.69</v>
      </c>
      <c r="K30" s="50" t="s">
        <v>195</v>
      </c>
      <c r="L30" s="33"/>
    </row>
    <row r="31" spans="1:12" ht="15" customHeight="1" x14ac:dyDescent="0.25">
      <c r="A31" s="31">
        <f t="shared" si="0"/>
        <v>26</v>
      </c>
      <c r="B31" s="36">
        <v>46179</v>
      </c>
      <c r="C31" s="45" t="s">
        <v>127</v>
      </c>
      <c r="D31" s="33" t="s">
        <v>16</v>
      </c>
      <c r="E31" s="33" t="s">
        <v>154</v>
      </c>
      <c r="F31" s="46">
        <v>141500</v>
      </c>
      <c r="G31" s="39">
        <v>168.2</v>
      </c>
      <c r="H31" s="47">
        <v>0.19</v>
      </c>
      <c r="I31" s="48">
        <f t="shared" si="1"/>
        <v>31.96</v>
      </c>
      <c r="J31" s="49">
        <f t="shared" si="2"/>
        <v>200.16</v>
      </c>
      <c r="K31" s="50" t="s">
        <v>196</v>
      </c>
      <c r="L31" s="33"/>
    </row>
    <row r="32" spans="1:12" ht="15" customHeight="1" x14ac:dyDescent="0.25">
      <c r="A32" s="31">
        <f t="shared" si="0"/>
        <v>27</v>
      </c>
      <c r="B32" s="36">
        <v>46186</v>
      </c>
      <c r="C32" s="45" t="s">
        <v>83</v>
      </c>
      <c r="D32" s="33" t="s">
        <v>21</v>
      </c>
      <c r="E32" s="33" t="s">
        <v>197</v>
      </c>
      <c r="F32" s="46">
        <v>157900</v>
      </c>
      <c r="G32" s="39">
        <v>712</v>
      </c>
      <c r="H32" s="47">
        <v>0.19</v>
      </c>
      <c r="I32" s="48">
        <f t="shared" si="1"/>
        <v>135.28</v>
      </c>
      <c r="J32" s="49">
        <f t="shared" si="2"/>
        <v>847.28</v>
      </c>
      <c r="K32" s="50" t="s">
        <v>198</v>
      </c>
      <c r="L32" s="33"/>
    </row>
    <row r="33" spans="1:12" ht="15" customHeight="1" x14ac:dyDescent="0.25">
      <c r="A33" s="31">
        <f t="shared" si="0"/>
        <v>28</v>
      </c>
      <c r="B33" s="36">
        <v>46193</v>
      </c>
      <c r="C33" s="45" t="s">
        <v>101</v>
      </c>
      <c r="D33" s="33" t="s">
        <v>20</v>
      </c>
      <c r="E33" s="33" t="s">
        <v>199</v>
      </c>
      <c r="F33" s="46"/>
      <c r="G33" s="39">
        <v>468</v>
      </c>
      <c r="H33" s="47">
        <v>0.19</v>
      </c>
      <c r="I33" s="48">
        <f t="shared" si="1"/>
        <v>88.92</v>
      </c>
      <c r="J33" s="49">
        <f t="shared" si="2"/>
        <v>556.91999999999996</v>
      </c>
      <c r="K33" s="50" t="s">
        <v>200</v>
      </c>
      <c r="L33" s="33"/>
    </row>
    <row r="34" spans="1:12" ht="15" customHeight="1" x14ac:dyDescent="0.25">
      <c r="A34" s="31">
        <f t="shared" si="0"/>
        <v>29</v>
      </c>
      <c r="B34" s="36">
        <v>46200</v>
      </c>
      <c r="C34" s="45" t="s">
        <v>121</v>
      </c>
      <c r="D34" s="33" t="s">
        <v>17</v>
      </c>
      <c r="E34" s="33" t="s">
        <v>201</v>
      </c>
      <c r="F34" s="46">
        <v>63800</v>
      </c>
      <c r="G34" s="39">
        <v>139</v>
      </c>
      <c r="H34" s="47">
        <v>0.19</v>
      </c>
      <c r="I34" s="48">
        <f t="shared" si="1"/>
        <v>26.41</v>
      </c>
      <c r="J34" s="49">
        <f t="shared" si="2"/>
        <v>165.41</v>
      </c>
      <c r="K34" s="50" t="s">
        <v>202</v>
      </c>
      <c r="L34" s="33"/>
    </row>
    <row r="35" spans="1:12" ht="15" customHeight="1" x14ac:dyDescent="0.25">
      <c r="A35" s="31">
        <f t="shared" si="0"/>
        <v>30</v>
      </c>
      <c r="B35" s="36">
        <v>46207</v>
      </c>
      <c r="C35" s="45" t="s">
        <v>70</v>
      </c>
      <c r="D35" s="33" t="s">
        <v>16</v>
      </c>
      <c r="E35" s="33" t="s">
        <v>154</v>
      </c>
      <c r="F35" s="46">
        <v>111100</v>
      </c>
      <c r="G35" s="39">
        <v>93.7</v>
      </c>
      <c r="H35" s="47">
        <v>0.19</v>
      </c>
      <c r="I35" s="48">
        <f t="shared" si="1"/>
        <v>17.8</v>
      </c>
      <c r="J35" s="49">
        <f t="shared" si="2"/>
        <v>111.5</v>
      </c>
      <c r="K35" s="50" t="s">
        <v>203</v>
      </c>
      <c r="L35" s="33"/>
    </row>
    <row r="36" spans="1:12" ht="15" customHeight="1" x14ac:dyDescent="0.25">
      <c r="A36" s="31">
        <f t="shared" si="0"/>
        <v>31</v>
      </c>
      <c r="B36" s="36">
        <v>46215</v>
      </c>
      <c r="C36" s="45" t="s">
        <v>117</v>
      </c>
      <c r="D36" s="33" t="s">
        <v>16</v>
      </c>
      <c r="E36" s="33" t="s">
        <v>163</v>
      </c>
      <c r="F36" s="46">
        <v>18500</v>
      </c>
      <c r="G36" s="39">
        <v>28.9</v>
      </c>
      <c r="H36" s="47">
        <v>0.19</v>
      </c>
      <c r="I36" s="48">
        <f t="shared" si="1"/>
        <v>5.49</v>
      </c>
      <c r="J36" s="49">
        <f t="shared" si="2"/>
        <v>34.39</v>
      </c>
      <c r="K36" s="50" t="s">
        <v>204</v>
      </c>
      <c r="L36" s="33"/>
    </row>
    <row r="37" spans="1:12" ht="15" customHeight="1" x14ac:dyDescent="0.25">
      <c r="A37" s="31">
        <f t="shared" si="0"/>
        <v>32</v>
      </c>
      <c r="B37" s="36">
        <v>46222</v>
      </c>
      <c r="C37" s="45" t="s">
        <v>90</v>
      </c>
      <c r="D37" s="33" t="s">
        <v>16</v>
      </c>
      <c r="E37" s="33" t="s">
        <v>156</v>
      </c>
      <c r="F37" s="46">
        <v>95600</v>
      </c>
      <c r="G37" s="39">
        <v>121.3</v>
      </c>
      <c r="H37" s="47">
        <v>0.19</v>
      </c>
      <c r="I37" s="48">
        <f t="shared" si="1"/>
        <v>23.05</v>
      </c>
      <c r="J37" s="49">
        <f t="shared" si="2"/>
        <v>144.35</v>
      </c>
      <c r="K37" s="50" t="s">
        <v>205</v>
      </c>
      <c r="L37" s="33"/>
    </row>
    <row r="38" spans="1:12" ht="15" customHeight="1" x14ac:dyDescent="0.25">
      <c r="A38" s="31">
        <f t="shared" ref="A38:A69" si="3">IF(C38="","",ROW()-5)</f>
        <v>33</v>
      </c>
      <c r="B38" s="36">
        <v>46229</v>
      </c>
      <c r="C38" s="45" t="s">
        <v>75</v>
      </c>
      <c r="D38" s="33" t="s">
        <v>24</v>
      </c>
      <c r="E38" s="33" t="s">
        <v>206</v>
      </c>
      <c r="F38" s="46">
        <v>40600</v>
      </c>
      <c r="G38" s="39">
        <v>168</v>
      </c>
      <c r="H38" s="47">
        <v>0.19</v>
      </c>
      <c r="I38" s="48">
        <f t="shared" ref="I38:I69" si="4">IF(G38="","",ROUND(G38*H38,2))</f>
        <v>31.92</v>
      </c>
      <c r="J38" s="49">
        <f t="shared" ref="J38:J69" si="5">IF(G38="","",G38+I38)</f>
        <v>199.92000000000002</v>
      </c>
      <c r="K38" s="50" t="s">
        <v>207</v>
      </c>
      <c r="L38" s="33"/>
    </row>
    <row r="39" spans="1:12" ht="15" customHeight="1" x14ac:dyDescent="0.25">
      <c r="A39" s="31">
        <f t="shared" si="3"/>
        <v>34</v>
      </c>
      <c r="B39" s="36">
        <v>46242</v>
      </c>
      <c r="C39" s="45" t="s">
        <v>107</v>
      </c>
      <c r="D39" s="33" t="s">
        <v>16</v>
      </c>
      <c r="E39" s="33" t="s">
        <v>154</v>
      </c>
      <c r="F39" s="46">
        <v>88600</v>
      </c>
      <c r="G39" s="39">
        <v>90.1</v>
      </c>
      <c r="H39" s="47">
        <v>0.19</v>
      </c>
      <c r="I39" s="48">
        <f t="shared" si="4"/>
        <v>17.12</v>
      </c>
      <c r="J39" s="49">
        <f t="shared" si="5"/>
        <v>107.22</v>
      </c>
      <c r="K39" s="50" t="s">
        <v>208</v>
      </c>
      <c r="L39" s="33"/>
    </row>
    <row r="40" spans="1:12" ht="15" customHeight="1" x14ac:dyDescent="0.25">
      <c r="A40" s="31">
        <f t="shared" si="3"/>
        <v>35</v>
      </c>
      <c r="B40" s="36">
        <v>46249</v>
      </c>
      <c r="C40" s="45" t="s">
        <v>133</v>
      </c>
      <c r="D40" s="33" t="s">
        <v>17</v>
      </c>
      <c r="E40" s="33" t="s">
        <v>209</v>
      </c>
      <c r="F40" s="46">
        <v>167200</v>
      </c>
      <c r="G40" s="39">
        <v>356.4</v>
      </c>
      <c r="H40" s="47">
        <v>0.19</v>
      </c>
      <c r="I40" s="48">
        <f t="shared" si="4"/>
        <v>67.72</v>
      </c>
      <c r="J40" s="49">
        <f t="shared" si="5"/>
        <v>424.12</v>
      </c>
      <c r="K40" s="50" t="s">
        <v>210</v>
      </c>
      <c r="L40" s="33"/>
    </row>
    <row r="41" spans="1:12" ht="15" customHeight="1" x14ac:dyDescent="0.25">
      <c r="A41" s="31">
        <f t="shared" si="3"/>
        <v>36</v>
      </c>
      <c r="B41" s="36">
        <v>46256</v>
      </c>
      <c r="C41" s="45" t="s">
        <v>60</v>
      </c>
      <c r="D41" s="33" t="s">
        <v>16</v>
      </c>
      <c r="E41" s="33" t="s">
        <v>154</v>
      </c>
      <c r="F41" s="46">
        <v>69200</v>
      </c>
      <c r="G41" s="39">
        <v>70.900000000000006</v>
      </c>
      <c r="H41" s="47">
        <v>0.19</v>
      </c>
      <c r="I41" s="48">
        <f t="shared" si="4"/>
        <v>13.47</v>
      </c>
      <c r="J41" s="49">
        <f t="shared" si="5"/>
        <v>84.37</v>
      </c>
      <c r="K41" s="50" t="s">
        <v>211</v>
      </c>
      <c r="L41" s="33"/>
    </row>
    <row r="42" spans="1:12" ht="15" customHeight="1" x14ac:dyDescent="0.25">
      <c r="A42" s="31">
        <f t="shared" si="3"/>
        <v>37</v>
      </c>
      <c r="B42" s="36">
        <v>46268</v>
      </c>
      <c r="C42" s="45" t="s">
        <v>112</v>
      </c>
      <c r="D42" s="33" t="s">
        <v>23</v>
      </c>
      <c r="E42" s="33" t="s">
        <v>212</v>
      </c>
      <c r="F42" s="46">
        <v>52100</v>
      </c>
      <c r="G42" s="39">
        <v>49</v>
      </c>
      <c r="H42" s="47">
        <v>0.19</v>
      </c>
      <c r="I42" s="48">
        <f t="shared" si="4"/>
        <v>9.31</v>
      </c>
      <c r="J42" s="49">
        <f t="shared" si="5"/>
        <v>58.31</v>
      </c>
      <c r="K42" s="50" t="s">
        <v>213</v>
      </c>
      <c r="L42" s="33"/>
    </row>
    <row r="43" spans="1:12" ht="15" customHeight="1" x14ac:dyDescent="0.25">
      <c r="A43" s="31">
        <f t="shared" si="3"/>
        <v>38</v>
      </c>
      <c r="B43" s="36">
        <v>46275</v>
      </c>
      <c r="C43" s="45" t="s">
        <v>95</v>
      </c>
      <c r="D43" s="33" t="s">
        <v>22</v>
      </c>
      <c r="E43" s="33" t="s">
        <v>214</v>
      </c>
      <c r="F43" s="46"/>
      <c r="G43" s="39">
        <v>64.2</v>
      </c>
      <c r="H43" s="47">
        <v>0.19</v>
      </c>
      <c r="I43" s="48">
        <f t="shared" si="4"/>
        <v>12.2</v>
      </c>
      <c r="J43" s="49">
        <f t="shared" si="5"/>
        <v>76.400000000000006</v>
      </c>
      <c r="K43" s="50" t="s">
        <v>215</v>
      </c>
      <c r="L43" s="33"/>
    </row>
    <row r="44" spans="1:12" ht="15" customHeight="1" x14ac:dyDescent="0.25">
      <c r="A44" s="31">
        <f t="shared" si="3"/>
        <v>39</v>
      </c>
      <c r="B44" s="36">
        <v>46283</v>
      </c>
      <c r="C44" s="45" t="s">
        <v>101</v>
      </c>
      <c r="D44" s="33" t="s">
        <v>16</v>
      </c>
      <c r="E44" s="33" t="s">
        <v>154</v>
      </c>
      <c r="F44" s="46">
        <v>121600</v>
      </c>
      <c r="G44" s="39">
        <v>99.8</v>
      </c>
      <c r="H44" s="47">
        <v>0.19</v>
      </c>
      <c r="I44" s="48">
        <f t="shared" si="4"/>
        <v>18.96</v>
      </c>
      <c r="J44" s="49">
        <f t="shared" si="5"/>
        <v>118.75999999999999</v>
      </c>
      <c r="K44" s="50" t="s">
        <v>216</v>
      </c>
      <c r="L44" s="33"/>
    </row>
    <row r="45" spans="1:12" ht="15" customHeight="1" x14ac:dyDescent="0.25">
      <c r="A45" s="31">
        <f t="shared" si="3"/>
        <v>40</v>
      </c>
      <c r="B45" s="36">
        <v>46289</v>
      </c>
      <c r="C45" s="45" t="s">
        <v>127</v>
      </c>
      <c r="D45" s="33" t="s">
        <v>20</v>
      </c>
      <c r="E45" s="33" t="s">
        <v>217</v>
      </c>
      <c r="F45" s="46"/>
      <c r="G45" s="39">
        <v>524</v>
      </c>
      <c r="H45" s="47">
        <v>0.19</v>
      </c>
      <c r="I45" s="48">
        <f t="shared" si="4"/>
        <v>99.56</v>
      </c>
      <c r="J45" s="49">
        <f t="shared" si="5"/>
        <v>623.55999999999995</v>
      </c>
      <c r="K45" s="50" t="s">
        <v>218</v>
      </c>
      <c r="L45" s="33"/>
    </row>
    <row r="46" spans="1:12" ht="15" customHeight="1" x14ac:dyDescent="0.25">
      <c r="A46" s="31" t="str">
        <f t="shared" si="3"/>
        <v/>
      </c>
      <c r="B46" s="36"/>
      <c r="C46" s="34"/>
      <c r="D46" s="34"/>
      <c r="E46" s="34"/>
      <c r="F46" s="46"/>
      <c r="G46" s="39"/>
      <c r="H46" s="47"/>
      <c r="I46" s="48" t="str">
        <f t="shared" si="4"/>
        <v/>
      </c>
      <c r="J46" s="49" t="str">
        <f t="shared" si="5"/>
        <v/>
      </c>
      <c r="K46" s="34"/>
      <c r="L46" s="34"/>
    </row>
    <row r="47" spans="1:12" ht="15" customHeight="1" x14ac:dyDescent="0.25">
      <c r="A47" s="31" t="str">
        <f t="shared" si="3"/>
        <v/>
      </c>
      <c r="B47" s="36"/>
      <c r="C47" s="34"/>
      <c r="D47" s="34"/>
      <c r="E47" s="34"/>
      <c r="F47" s="46"/>
      <c r="G47" s="39"/>
      <c r="H47" s="47"/>
      <c r="I47" s="48" t="str">
        <f t="shared" si="4"/>
        <v/>
      </c>
      <c r="J47" s="49" t="str">
        <f t="shared" si="5"/>
        <v/>
      </c>
      <c r="K47" s="34"/>
      <c r="L47" s="34"/>
    </row>
    <row r="48" spans="1:12" ht="15" customHeight="1" x14ac:dyDescent="0.25">
      <c r="A48" s="31" t="str">
        <f t="shared" si="3"/>
        <v/>
      </c>
      <c r="B48" s="36"/>
      <c r="C48" s="34"/>
      <c r="D48" s="34"/>
      <c r="E48" s="34"/>
      <c r="F48" s="46"/>
      <c r="G48" s="39"/>
      <c r="H48" s="47"/>
      <c r="I48" s="48" t="str">
        <f t="shared" si="4"/>
        <v/>
      </c>
      <c r="J48" s="49" t="str">
        <f t="shared" si="5"/>
        <v/>
      </c>
      <c r="K48" s="34"/>
      <c r="L48" s="34"/>
    </row>
    <row r="49" spans="1:12" ht="15" customHeight="1" x14ac:dyDescent="0.25">
      <c r="A49" s="31" t="str">
        <f t="shared" si="3"/>
        <v/>
      </c>
      <c r="B49" s="36"/>
      <c r="C49" s="34"/>
      <c r="D49" s="34"/>
      <c r="E49" s="34"/>
      <c r="F49" s="46"/>
      <c r="G49" s="39"/>
      <c r="H49" s="47"/>
      <c r="I49" s="48" t="str">
        <f t="shared" si="4"/>
        <v/>
      </c>
      <c r="J49" s="49" t="str">
        <f t="shared" si="5"/>
        <v/>
      </c>
      <c r="K49" s="34"/>
      <c r="L49" s="34"/>
    </row>
    <row r="50" spans="1:12" ht="15" customHeight="1" x14ac:dyDescent="0.25">
      <c r="A50" s="31" t="str">
        <f t="shared" si="3"/>
        <v/>
      </c>
      <c r="B50" s="36"/>
      <c r="C50" s="34"/>
      <c r="D50" s="34"/>
      <c r="E50" s="34"/>
      <c r="F50" s="46"/>
      <c r="G50" s="39"/>
      <c r="H50" s="47"/>
      <c r="I50" s="48" t="str">
        <f t="shared" si="4"/>
        <v/>
      </c>
      <c r="J50" s="49" t="str">
        <f t="shared" si="5"/>
        <v/>
      </c>
      <c r="K50" s="34"/>
      <c r="L50" s="34"/>
    </row>
    <row r="51" spans="1:12" ht="15" customHeight="1" x14ac:dyDescent="0.25">
      <c r="A51" s="31" t="str">
        <f t="shared" si="3"/>
        <v/>
      </c>
      <c r="B51" s="36"/>
      <c r="C51" s="34"/>
      <c r="D51" s="34"/>
      <c r="E51" s="34"/>
      <c r="F51" s="46"/>
      <c r="G51" s="39"/>
      <c r="H51" s="47"/>
      <c r="I51" s="48" t="str">
        <f t="shared" si="4"/>
        <v/>
      </c>
      <c r="J51" s="49" t="str">
        <f t="shared" si="5"/>
        <v/>
      </c>
      <c r="K51" s="34"/>
      <c r="L51" s="34"/>
    </row>
    <row r="52" spans="1:12" ht="15" customHeight="1" x14ac:dyDescent="0.25">
      <c r="A52" s="31" t="str">
        <f t="shared" si="3"/>
        <v/>
      </c>
      <c r="B52" s="36"/>
      <c r="C52" s="34"/>
      <c r="D52" s="34"/>
      <c r="E52" s="34"/>
      <c r="F52" s="46"/>
      <c r="G52" s="39"/>
      <c r="H52" s="47"/>
      <c r="I52" s="48" t="str">
        <f t="shared" si="4"/>
        <v/>
      </c>
      <c r="J52" s="49" t="str">
        <f t="shared" si="5"/>
        <v/>
      </c>
      <c r="K52" s="34"/>
      <c r="L52" s="34"/>
    </row>
    <row r="53" spans="1:12" ht="15" customHeight="1" x14ac:dyDescent="0.25">
      <c r="A53" s="31" t="str">
        <f t="shared" si="3"/>
        <v/>
      </c>
      <c r="B53" s="36"/>
      <c r="C53" s="34"/>
      <c r="D53" s="34"/>
      <c r="E53" s="34"/>
      <c r="F53" s="46"/>
      <c r="G53" s="39"/>
      <c r="H53" s="47"/>
      <c r="I53" s="48" t="str">
        <f t="shared" si="4"/>
        <v/>
      </c>
      <c r="J53" s="49" t="str">
        <f t="shared" si="5"/>
        <v/>
      </c>
      <c r="K53" s="34"/>
      <c r="L53" s="34"/>
    </row>
    <row r="54" spans="1:12" ht="15" customHeight="1" x14ac:dyDescent="0.25">
      <c r="A54" s="31" t="str">
        <f t="shared" si="3"/>
        <v/>
      </c>
      <c r="B54" s="36"/>
      <c r="C54" s="34"/>
      <c r="D54" s="34"/>
      <c r="E54" s="34"/>
      <c r="F54" s="46"/>
      <c r="G54" s="39"/>
      <c r="H54" s="47"/>
      <c r="I54" s="48" t="str">
        <f t="shared" si="4"/>
        <v/>
      </c>
      <c r="J54" s="49" t="str">
        <f t="shared" si="5"/>
        <v/>
      </c>
      <c r="K54" s="34"/>
      <c r="L54" s="34"/>
    </row>
    <row r="55" spans="1:12" ht="15" customHeight="1" x14ac:dyDescent="0.25">
      <c r="A55" s="31" t="str">
        <f t="shared" si="3"/>
        <v/>
      </c>
      <c r="B55" s="36"/>
      <c r="C55" s="34"/>
      <c r="D55" s="34"/>
      <c r="E55" s="34"/>
      <c r="F55" s="46"/>
      <c r="G55" s="39"/>
      <c r="H55" s="47"/>
      <c r="I55" s="48" t="str">
        <f t="shared" si="4"/>
        <v/>
      </c>
      <c r="J55" s="49" t="str">
        <f t="shared" si="5"/>
        <v/>
      </c>
      <c r="K55" s="34"/>
      <c r="L55" s="34"/>
    </row>
    <row r="56" spans="1:12" ht="15" customHeight="1" x14ac:dyDescent="0.25">
      <c r="A56" s="31" t="str">
        <f t="shared" si="3"/>
        <v/>
      </c>
      <c r="B56" s="36"/>
      <c r="C56" s="34"/>
      <c r="D56" s="34"/>
      <c r="E56" s="34"/>
      <c r="F56" s="46"/>
      <c r="G56" s="39"/>
      <c r="H56" s="47"/>
      <c r="I56" s="48" t="str">
        <f t="shared" si="4"/>
        <v/>
      </c>
      <c r="J56" s="49" t="str">
        <f t="shared" si="5"/>
        <v/>
      </c>
      <c r="K56" s="34"/>
      <c r="L56" s="34"/>
    </row>
    <row r="57" spans="1:12" ht="15" customHeight="1" x14ac:dyDescent="0.25">
      <c r="A57" s="31" t="str">
        <f t="shared" si="3"/>
        <v/>
      </c>
      <c r="B57" s="36"/>
      <c r="C57" s="34"/>
      <c r="D57" s="34"/>
      <c r="E57" s="34"/>
      <c r="F57" s="46"/>
      <c r="G57" s="39"/>
      <c r="H57" s="47"/>
      <c r="I57" s="48" t="str">
        <f t="shared" si="4"/>
        <v/>
      </c>
      <c r="J57" s="49" t="str">
        <f t="shared" si="5"/>
        <v/>
      </c>
      <c r="K57" s="34"/>
      <c r="L57" s="34"/>
    </row>
    <row r="58" spans="1:12" ht="15" customHeight="1" x14ac:dyDescent="0.25">
      <c r="A58" s="31" t="str">
        <f t="shared" si="3"/>
        <v/>
      </c>
      <c r="B58" s="36"/>
      <c r="C58" s="34"/>
      <c r="D58" s="34"/>
      <c r="E58" s="34"/>
      <c r="F58" s="46"/>
      <c r="G58" s="39"/>
      <c r="H58" s="47"/>
      <c r="I58" s="48" t="str">
        <f t="shared" si="4"/>
        <v/>
      </c>
      <c r="J58" s="49" t="str">
        <f t="shared" si="5"/>
        <v/>
      </c>
      <c r="K58" s="34"/>
      <c r="L58" s="34"/>
    </row>
    <row r="59" spans="1:12" ht="15" customHeight="1" x14ac:dyDescent="0.25">
      <c r="A59" s="31" t="str">
        <f t="shared" si="3"/>
        <v/>
      </c>
      <c r="B59" s="36"/>
      <c r="C59" s="34"/>
      <c r="D59" s="34"/>
      <c r="E59" s="34"/>
      <c r="F59" s="46"/>
      <c r="G59" s="39"/>
      <c r="H59" s="47"/>
      <c r="I59" s="48" t="str">
        <f t="shared" si="4"/>
        <v/>
      </c>
      <c r="J59" s="49" t="str">
        <f t="shared" si="5"/>
        <v/>
      </c>
      <c r="K59" s="34"/>
      <c r="L59" s="34"/>
    </row>
    <row r="60" spans="1:12" ht="15" customHeight="1" x14ac:dyDescent="0.25">
      <c r="A60" s="31" t="str">
        <f t="shared" si="3"/>
        <v/>
      </c>
      <c r="B60" s="36"/>
      <c r="C60" s="34"/>
      <c r="D60" s="34"/>
      <c r="E60" s="34"/>
      <c r="F60" s="46"/>
      <c r="G60" s="39"/>
      <c r="H60" s="47"/>
      <c r="I60" s="48" t="str">
        <f t="shared" si="4"/>
        <v/>
      </c>
      <c r="J60" s="49" t="str">
        <f t="shared" si="5"/>
        <v/>
      </c>
      <c r="K60" s="34"/>
      <c r="L60" s="34"/>
    </row>
    <row r="61" spans="1:12" ht="15" customHeight="1" x14ac:dyDescent="0.25">
      <c r="A61" s="31" t="str">
        <f t="shared" si="3"/>
        <v/>
      </c>
      <c r="B61" s="36"/>
      <c r="C61" s="34"/>
      <c r="D61" s="34"/>
      <c r="E61" s="34"/>
      <c r="F61" s="46"/>
      <c r="G61" s="39"/>
      <c r="H61" s="47"/>
      <c r="I61" s="48" t="str">
        <f t="shared" si="4"/>
        <v/>
      </c>
      <c r="J61" s="49" t="str">
        <f t="shared" si="5"/>
        <v/>
      </c>
      <c r="K61" s="34"/>
      <c r="L61" s="34"/>
    </row>
    <row r="62" spans="1:12" ht="15" customHeight="1" x14ac:dyDescent="0.25">
      <c r="A62" s="31" t="str">
        <f t="shared" si="3"/>
        <v/>
      </c>
      <c r="B62" s="36"/>
      <c r="C62" s="34"/>
      <c r="D62" s="34"/>
      <c r="E62" s="34"/>
      <c r="F62" s="46"/>
      <c r="G62" s="39"/>
      <c r="H62" s="47"/>
      <c r="I62" s="48" t="str">
        <f t="shared" si="4"/>
        <v/>
      </c>
      <c r="J62" s="49" t="str">
        <f t="shared" si="5"/>
        <v/>
      </c>
      <c r="K62" s="34"/>
      <c r="L62" s="34"/>
    </row>
    <row r="63" spans="1:12" ht="15" customHeight="1" x14ac:dyDescent="0.25">
      <c r="A63" s="31" t="str">
        <f t="shared" si="3"/>
        <v/>
      </c>
      <c r="B63" s="36"/>
      <c r="C63" s="34"/>
      <c r="D63" s="34"/>
      <c r="E63" s="34"/>
      <c r="F63" s="46"/>
      <c r="G63" s="39"/>
      <c r="H63" s="47"/>
      <c r="I63" s="48" t="str">
        <f t="shared" si="4"/>
        <v/>
      </c>
      <c r="J63" s="49" t="str">
        <f t="shared" si="5"/>
        <v/>
      </c>
      <c r="K63" s="34"/>
      <c r="L63" s="34"/>
    </row>
    <row r="64" spans="1:12" ht="15" customHeight="1" x14ac:dyDescent="0.25">
      <c r="A64" s="31" t="str">
        <f t="shared" si="3"/>
        <v/>
      </c>
      <c r="B64" s="36"/>
      <c r="C64" s="34"/>
      <c r="D64" s="34"/>
      <c r="E64" s="34"/>
      <c r="F64" s="46"/>
      <c r="G64" s="39"/>
      <c r="H64" s="47"/>
      <c r="I64" s="48" t="str">
        <f t="shared" si="4"/>
        <v/>
      </c>
      <c r="J64" s="49" t="str">
        <f t="shared" si="5"/>
        <v/>
      </c>
      <c r="K64" s="34"/>
      <c r="L64" s="34"/>
    </row>
    <row r="65" spans="1:12" ht="15" customHeight="1" x14ac:dyDescent="0.25">
      <c r="A65" s="31" t="str">
        <f t="shared" si="3"/>
        <v/>
      </c>
      <c r="B65" s="36"/>
      <c r="C65" s="34"/>
      <c r="D65" s="34"/>
      <c r="E65" s="34"/>
      <c r="F65" s="46"/>
      <c r="G65" s="39"/>
      <c r="H65" s="47"/>
      <c r="I65" s="48" t="str">
        <f t="shared" si="4"/>
        <v/>
      </c>
      <c r="J65" s="49" t="str">
        <f t="shared" si="5"/>
        <v/>
      </c>
      <c r="K65" s="34"/>
      <c r="L65" s="34"/>
    </row>
    <row r="66" spans="1:12" ht="15" customHeight="1" x14ac:dyDescent="0.25">
      <c r="A66" s="31" t="str">
        <f t="shared" si="3"/>
        <v/>
      </c>
      <c r="B66" s="36"/>
      <c r="C66" s="34"/>
      <c r="D66" s="34"/>
      <c r="E66" s="34"/>
      <c r="F66" s="46"/>
      <c r="G66" s="39"/>
      <c r="H66" s="47"/>
      <c r="I66" s="48" t="str">
        <f t="shared" si="4"/>
        <v/>
      </c>
      <c r="J66" s="49" t="str">
        <f t="shared" si="5"/>
        <v/>
      </c>
      <c r="K66" s="34"/>
      <c r="L66" s="34"/>
    </row>
    <row r="67" spans="1:12" ht="15" customHeight="1" x14ac:dyDescent="0.25">
      <c r="A67" s="31" t="str">
        <f t="shared" si="3"/>
        <v/>
      </c>
      <c r="B67" s="36"/>
      <c r="C67" s="34"/>
      <c r="D67" s="34"/>
      <c r="E67" s="34"/>
      <c r="F67" s="46"/>
      <c r="G67" s="39"/>
      <c r="H67" s="47"/>
      <c r="I67" s="48" t="str">
        <f t="shared" si="4"/>
        <v/>
      </c>
      <c r="J67" s="49" t="str">
        <f t="shared" si="5"/>
        <v/>
      </c>
      <c r="K67" s="34"/>
      <c r="L67" s="34"/>
    </row>
    <row r="68" spans="1:12" ht="15" customHeight="1" x14ac:dyDescent="0.25">
      <c r="A68" s="31" t="str">
        <f t="shared" si="3"/>
        <v/>
      </c>
      <c r="B68" s="36"/>
      <c r="C68" s="34"/>
      <c r="D68" s="34"/>
      <c r="E68" s="34"/>
      <c r="F68" s="46"/>
      <c r="G68" s="39"/>
      <c r="H68" s="47"/>
      <c r="I68" s="48" t="str">
        <f t="shared" si="4"/>
        <v/>
      </c>
      <c r="J68" s="49" t="str">
        <f t="shared" si="5"/>
        <v/>
      </c>
      <c r="K68" s="34"/>
      <c r="L68" s="34"/>
    </row>
    <row r="69" spans="1:12" ht="15" customHeight="1" x14ac:dyDescent="0.25">
      <c r="A69" s="31" t="str">
        <f t="shared" si="3"/>
        <v/>
      </c>
      <c r="B69" s="36"/>
      <c r="C69" s="34"/>
      <c r="D69" s="34"/>
      <c r="E69" s="34"/>
      <c r="F69" s="46"/>
      <c r="G69" s="39"/>
      <c r="H69" s="47"/>
      <c r="I69" s="48" t="str">
        <f t="shared" si="4"/>
        <v/>
      </c>
      <c r="J69" s="49" t="str">
        <f t="shared" si="5"/>
        <v/>
      </c>
      <c r="K69" s="34"/>
      <c r="L69" s="34"/>
    </row>
    <row r="70" spans="1:12" ht="15" customHeight="1" x14ac:dyDescent="0.25">
      <c r="A70" s="31" t="str">
        <f t="shared" ref="A70:A80" si="6">IF(C70="","",ROW()-5)</f>
        <v/>
      </c>
      <c r="B70" s="36"/>
      <c r="C70" s="34"/>
      <c r="D70" s="34"/>
      <c r="E70" s="34"/>
      <c r="F70" s="46"/>
      <c r="G70" s="39"/>
      <c r="H70" s="47"/>
      <c r="I70" s="48" t="str">
        <f t="shared" ref="I70:I101" si="7">IF(G70="","",ROUND(G70*H70,2))</f>
        <v/>
      </c>
      <c r="J70" s="49" t="str">
        <f t="shared" ref="J70:J101" si="8">IF(G70="","",G70+I70)</f>
        <v/>
      </c>
      <c r="K70" s="34"/>
      <c r="L70" s="34"/>
    </row>
    <row r="71" spans="1:12" ht="15" customHeight="1" x14ac:dyDescent="0.25">
      <c r="A71" s="31" t="str">
        <f t="shared" si="6"/>
        <v/>
      </c>
      <c r="B71" s="36"/>
      <c r="C71" s="34"/>
      <c r="D71" s="34"/>
      <c r="E71" s="34"/>
      <c r="F71" s="46"/>
      <c r="G71" s="39"/>
      <c r="H71" s="47"/>
      <c r="I71" s="48" t="str">
        <f t="shared" si="7"/>
        <v/>
      </c>
      <c r="J71" s="49" t="str">
        <f t="shared" si="8"/>
        <v/>
      </c>
      <c r="K71" s="34"/>
      <c r="L71" s="34"/>
    </row>
    <row r="72" spans="1:12" ht="15" customHeight="1" x14ac:dyDescent="0.25">
      <c r="A72" s="31" t="str">
        <f t="shared" si="6"/>
        <v/>
      </c>
      <c r="B72" s="36"/>
      <c r="C72" s="34"/>
      <c r="D72" s="34"/>
      <c r="E72" s="34"/>
      <c r="F72" s="46"/>
      <c r="G72" s="39"/>
      <c r="H72" s="47"/>
      <c r="I72" s="48" t="str">
        <f t="shared" si="7"/>
        <v/>
      </c>
      <c r="J72" s="49" t="str">
        <f t="shared" si="8"/>
        <v/>
      </c>
      <c r="K72" s="34"/>
      <c r="L72" s="34"/>
    </row>
    <row r="73" spans="1:12" ht="15" customHeight="1" x14ac:dyDescent="0.25">
      <c r="A73" s="31" t="str">
        <f t="shared" si="6"/>
        <v/>
      </c>
      <c r="B73" s="36"/>
      <c r="C73" s="34"/>
      <c r="D73" s="34"/>
      <c r="E73" s="34"/>
      <c r="F73" s="46"/>
      <c r="G73" s="39"/>
      <c r="H73" s="47"/>
      <c r="I73" s="48" t="str">
        <f t="shared" si="7"/>
        <v/>
      </c>
      <c r="J73" s="49" t="str">
        <f t="shared" si="8"/>
        <v/>
      </c>
      <c r="K73" s="34"/>
      <c r="L73" s="34"/>
    </row>
    <row r="74" spans="1:12" ht="15" customHeight="1" x14ac:dyDescent="0.25">
      <c r="A74" s="31" t="str">
        <f t="shared" si="6"/>
        <v/>
      </c>
      <c r="B74" s="36"/>
      <c r="C74" s="34"/>
      <c r="D74" s="34"/>
      <c r="E74" s="34"/>
      <c r="F74" s="46"/>
      <c r="G74" s="39"/>
      <c r="H74" s="47"/>
      <c r="I74" s="48" t="str">
        <f t="shared" si="7"/>
        <v/>
      </c>
      <c r="J74" s="49" t="str">
        <f t="shared" si="8"/>
        <v/>
      </c>
      <c r="K74" s="34"/>
      <c r="L74" s="34"/>
    </row>
    <row r="75" spans="1:12" ht="15" customHeight="1" x14ac:dyDescent="0.25">
      <c r="A75" s="31" t="str">
        <f t="shared" si="6"/>
        <v/>
      </c>
      <c r="B75" s="36"/>
      <c r="C75" s="34"/>
      <c r="D75" s="34"/>
      <c r="E75" s="34"/>
      <c r="F75" s="46"/>
      <c r="G75" s="39"/>
      <c r="H75" s="47"/>
      <c r="I75" s="48" t="str">
        <f t="shared" si="7"/>
        <v/>
      </c>
      <c r="J75" s="49" t="str">
        <f t="shared" si="8"/>
        <v/>
      </c>
      <c r="K75" s="34"/>
      <c r="L75" s="34"/>
    </row>
    <row r="76" spans="1:12" ht="15" customHeight="1" x14ac:dyDescent="0.25">
      <c r="A76" s="31" t="str">
        <f t="shared" si="6"/>
        <v/>
      </c>
      <c r="B76" s="36"/>
      <c r="C76" s="34"/>
      <c r="D76" s="34"/>
      <c r="E76" s="34"/>
      <c r="F76" s="46"/>
      <c r="G76" s="39"/>
      <c r="H76" s="47"/>
      <c r="I76" s="48" t="str">
        <f t="shared" si="7"/>
        <v/>
      </c>
      <c r="J76" s="49" t="str">
        <f t="shared" si="8"/>
        <v/>
      </c>
      <c r="K76" s="34"/>
      <c r="L76" s="34"/>
    </row>
    <row r="77" spans="1:12" ht="15" customHeight="1" x14ac:dyDescent="0.25">
      <c r="A77" s="31" t="str">
        <f t="shared" si="6"/>
        <v/>
      </c>
      <c r="B77" s="36"/>
      <c r="C77" s="34"/>
      <c r="D77" s="34"/>
      <c r="E77" s="34"/>
      <c r="F77" s="46"/>
      <c r="G77" s="39"/>
      <c r="H77" s="47"/>
      <c r="I77" s="48" t="str">
        <f t="shared" si="7"/>
        <v/>
      </c>
      <c r="J77" s="49" t="str">
        <f t="shared" si="8"/>
        <v/>
      </c>
      <c r="K77" s="34"/>
      <c r="L77" s="34"/>
    </row>
    <row r="78" spans="1:12" ht="15" customHeight="1" x14ac:dyDescent="0.25">
      <c r="A78" s="31" t="str">
        <f t="shared" si="6"/>
        <v/>
      </c>
      <c r="B78" s="36"/>
      <c r="C78" s="34"/>
      <c r="D78" s="34"/>
      <c r="E78" s="34"/>
      <c r="F78" s="46"/>
      <c r="G78" s="39"/>
      <c r="H78" s="47"/>
      <c r="I78" s="48" t="str">
        <f t="shared" si="7"/>
        <v/>
      </c>
      <c r="J78" s="49" t="str">
        <f t="shared" si="8"/>
        <v/>
      </c>
      <c r="K78" s="34"/>
      <c r="L78" s="34"/>
    </row>
    <row r="79" spans="1:12" ht="15" customHeight="1" x14ac:dyDescent="0.25">
      <c r="A79" s="31" t="str">
        <f t="shared" si="6"/>
        <v/>
      </c>
      <c r="B79" s="36"/>
      <c r="C79" s="34"/>
      <c r="D79" s="34"/>
      <c r="E79" s="34"/>
      <c r="F79" s="46"/>
      <c r="G79" s="39"/>
      <c r="H79" s="47"/>
      <c r="I79" s="48" t="str">
        <f t="shared" si="7"/>
        <v/>
      </c>
      <c r="J79" s="49" t="str">
        <f t="shared" si="8"/>
        <v/>
      </c>
      <c r="K79" s="34"/>
      <c r="L79" s="34"/>
    </row>
    <row r="80" spans="1:12" ht="15" customHeight="1" x14ac:dyDescent="0.25">
      <c r="A80" s="31" t="str">
        <f t="shared" si="6"/>
        <v/>
      </c>
      <c r="B80" s="36"/>
      <c r="C80" s="34"/>
      <c r="D80" s="34"/>
      <c r="E80" s="34"/>
      <c r="F80" s="46"/>
      <c r="G80" s="39"/>
      <c r="H80" s="47"/>
      <c r="I80" s="48" t="str">
        <f t="shared" si="7"/>
        <v/>
      </c>
      <c r="J80" s="49" t="str">
        <f t="shared" si="8"/>
        <v/>
      </c>
      <c r="K80" s="34"/>
      <c r="L80" s="34"/>
    </row>
    <row r="82" spans="1:12" ht="19.5" customHeight="1" x14ac:dyDescent="0.25">
      <c r="A82" s="51"/>
      <c r="B82" s="52" t="s">
        <v>219</v>
      </c>
      <c r="C82" s="51"/>
      <c r="D82" s="51"/>
      <c r="E82" s="51"/>
      <c r="F82" s="51"/>
      <c r="G82" s="53">
        <f>SUM(G6:G80)</f>
        <v>11361.35</v>
      </c>
      <c r="H82" s="51"/>
      <c r="I82" s="53">
        <f>SUM(I6:I80)</f>
        <v>1656.69</v>
      </c>
      <c r="J82" s="53">
        <f>SUM(J6:J80)</f>
        <v>13018.04</v>
      </c>
      <c r="K82" s="51"/>
      <c r="L82" s="51"/>
    </row>
  </sheetData>
  <autoFilter ref="A5:L80" xr:uid="{00000000-0009-0000-0000-000002000000}"/>
  <mergeCells count="5">
    <mergeCell ref="A1:L1"/>
    <mergeCell ref="A2:L2"/>
    <mergeCell ref="A3:L3"/>
    <mergeCell ref="A4:E4"/>
    <mergeCell ref="G4:L4"/>
  </mergeCells>
  <dataValidations count="2">
    <dataValidation type="list" allowBlank="1" sqref="D6:D80" xr:uid="{00000000-0002-0000-0200-000001000000}">
      <formula1>"Kraftstoff,Wartung &amp; Reparatur,Versicherung,Kfz-Steuer,Leasing/Finanzierung,Reifen,Maut &amp; Parken,Reinigung/Pflege,Sonstiges"</formula1>
      <formula2>0</formula2>
    </dataValidation>
    <dataValidation type="list" allowBlank="1" sqref="H6:H80" xr:uid="{00000000-0002-0000-0200-000002000000}">
      <formula1>"0.19,0.07,0"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200-000000000000}">
          <x14:formula1>
            <xm:f>Fahrzeuge!$B$6:$B$40</xm:f>
          </x14:formula1>
          <x14:formula2>
            <xm:f>0</xm:f>
          </x14:formula2>
          <xm:sqref>C6:C80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0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8.7109375" defaultRowHeight="15" x14ac:dyDescent="0.25"/>
  <cols>
    <col min="1" max="1" width="4.42578125" customWidth="1"/>
    <col min="2" max="2" width="12.42578125" customWidth="1"/>
    <col min="3" max="3" width="28" customWidth="1"/>
    <col min="4" max="4" width="12.42578125" customWidth="1"/>
    <col min="5" max="5" width="13" customWidth="1"/>
    <col min="6" max="6" width="10" customWidth="1"/>
    <col min="7" max="8" width="11" customWidth="1"/>
    <col min="9" max="9" width="10" customWidth="1"/>
    <col min="10" max="10" width="13" customWidth="1"/>
    <col min="11" max="11" width="15" customWidth="1"/>
    <col min="12" max="12" width="24" customWidth="1"/>
  </cols>
  <sheetData>
    <row r="1" spans="1:12" ht="33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9.5" customHeight="1" x14ac:dyDescent="0.25">
      <c r="A2" s="13" t="s">
        <v>220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3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8" customHeight="1" x14ac:dyDescent="0.25">
      <c r="A4" s="56" t="s">
        <v>221</v>
      </c>
      <c r="B4" s="56"/>
      <c r="C4" s="56"/>
      <c r="D4" s="56"/>
      <c r="F4" s="10" t="s">
        <v>222</v>
      </c>
      <c r="G4" s="10"/>
      <c r="H4" s="10"/>
      <c r="I4" s="10"/>
      <c r="J4" s="10"/>
      <c r="K4" s="10"/>
      <c r="L4" s="10"/>
    </row>
    <row r="5" spans="1:12" ht="30" customHeight="1" x14ac:dyDescent="0.25">
      <c r="A5" s="30" t="s">
        <v>39</v>
      </c>
      <c r="B5" s="30" t="s">
        <v>34</v>
      </c>
      <c r="C5" s="30" t="s">
        <v>223</v>
      </c>
      <c r="D5" s="30" t="s">
        <v>224</v>
      </c>
      <c r="E5" s="30" t="s">
        <v>225</v>
      </c>
      <c r="F5" s="30" t="s">
        <v>226</v>
      </c>
      <c r="G5" s="30" t="s">
        <v>227</v>
      </c>
      <c r="H5" s="30" t="s">
        <v>27</v>
      </c>
      <c r="I5" s="30" t="s">
        <v>228</v>
      </c>
      <c r="J5" s="30" t="s">
        <v>229</v>
      </c>
      <c r="K5" s="30" t="s">
        <v>230</v>
      </c>
      <c r="L5" s="30" t="s">
        <v>147</v>
      </c>
    </row>
    <row r="6" spans="1:12" ht="15.75" customHeight="1" x14ac:dyDescent="0.25">
      <c r="A6" s="31">
        <f t="shared" ref="A6:A40" si="0">IF(B6="","",ROW()-5)</f>
        <v>1</v>
      </c>
      <c r="B6" s="45" t="s">
        <v>133</v>
      </c>
      <c r="C6" s="33" t="s">
        <v>231</v>
      </c>
      <c r="D6" s="36">
        <v>46204</v>
      </c>
      <c r="E6" s="36">
        <v>45476</v>
      </c>
      <c r="F6" s="54">
        <v>24</v>
      </c>
      <c r="G6" s="37"/>
      <c r="H6" s="34" t="s">
        <v>232</v>
      </c>
      <c r="I6" s="41">
        <f t="shared" ref="I6:I40" ca="1" si="1">IF(D6="","",IF(H6="Erledigt","",D6-TODAY()))</f>
        <v>-91</v>
      </c>
      <c r="J6" s="42" t="str">
        <f t="shared" ref="J6:J40" ca="1" si="2">IF(D6="","",IF(H6="Erledigt","Erledigt",IF(D6-TODAY()&lt;0,"Überfällig",IF(D6-TODAY()&lt;=30,"Bald fällig","Geplant"))))</f>
        <v>Überfällig</v>
      </c>
      <c r="K6" s="55">
        <f t="shared" ref="K6:K40" si="3">IF(OR(E6="",F6=""),"",IFERROR(EDATE(E6,F6),""))</f>
        <v>46206</v>
      </c>
      <c r="L6" s="33"/>
    </row>
    <row r="7" spans="1:12" ht="15.75" customHeight="1" x14ac:dyDescent="0.25">
      <c r="A7" s="31">
        <f t="shared" si="0"/>
        <v>2</v>
      </c>
      <c r="B7" s="45" t="s">
        <v>83</v>
      </c>
      <c r="C7" s="33" t="s">
        <v>231</v>
      </c>
      <c r="D7" s="36">
        <v>46249</v>
      </c>
      <c r="E7" s="36">
        <v>45514</v>
      </c>
      <c r="F7" s="54">
        <v>24</v>
      </c>
      <c r="G7" s="37"/>
      <c r="H7" s="34" t="s">
        <v>232</v>
      </c>
      <c r="I7" s="41">
        <f t="shared" ca="1" si="1"/>
        <v>-46</v>
      </c>
      <c r="J7" s="42" t="str">
        <f t="shared" ca="1" si="2"/>
        <v>Überfällig</v>
      </c>
      <c r="K7" s="55">
        <f t="shared" si="3"/>
        <v>46244</v>
      </c>
      <c r="L7" s="33"/>
    </row>
    <row r="8" spans="1:12" ht="15.75" customHeight="1" x14ac:dyDescent="0.25">
      <c r="A8" s="31">
        <f t="shared" si="0"/>
        <v>3</v>
      </c>
      <c r="B8" s="45" t="s">
        <v>121</v>
      </c>
      <c r="C8" s="33" t="s">
        <v>231</v>
      </c>
      <c r="D8" s="36">
        <v>46327</v>
      </c>
      <c r="E8" s="36">
        <v>45600</v>
      </c>
      <c r="F8" s="54">
        <v>24</v>
      </c>
      <c r="G8" s="37">
        <v>120</v>
      </c>
      <c r="H8" s="34" t="s">
        <v>232</v>
      </c>
      <c r="I8" s="41">
        <f t="shared" ca="1" si="1"/>
        <v>32</v>
      </c>
      <c r="J8" s="42" t="str">
        <f t="shared" ca="1" si="2"/>
        <v>Geplant</v>
      </c>
      <c r="K8" s="55">
        <f t="shared" si="3"/>
        <v>46330</v>
      </c>
      <c r="L8" s="33"/>
    </row>
    <row r="9" spans="1:12" ht="15.75" customHeight="1" x14ac:dyDescent="0.25">
      <c r="A9" s="31">
        <f t="shared" si="0"/>
        <v>4</v>
      </c>
      <c r="B9" s="45" t="s">
        <v>127</v>
      </c>
      <c r="C9" s="33" t="s">
        <v>231</v>
      </c>
      <c r="D9" s="36">
        <v>46357</v>
      </c>
      <c r="E9" s="36">
        <v>45624</v>
      </c>
      <c r="F9" s="54">
        <v>24</v>
      </c>
      <c r="G9" s="37">
        <v>150</v>
      </c>
      <c r="H9" s="34" t="s">
        <v>232</v>
      </c>
      <c r="I9" s="41">
        <f t="shared" ca="1" si="1"/>
        <v>62</v>
      </c>
      <c r="J9" s="42" t="str">
        <f t="shared" ca="1" si="2"/>
        <v>Geplant</v>
      </c>
      <c r="K9" s="55">
        <f t="shared" si="3"/>
        <v>46354</v>
      </c>
      <c r="L9" s="33"/>
    </row>
    <row r="10" spans="1:12" ht="15.75" customHeight="1" x14ac:dyDescent="0.25">
      <c r="A10" s="31">
        <f t="shared" si="0"/>
        <v>5</v>
      </c>
      <c r="B10" s="45" t="s">
        <v>70</v>
      </c>
      <c r="C10" s="33" t="s">
        <v>231</v>
      </c>
      <c r="D10" s="36">
        <v>46315</v>
      </c>
      <c r="E10" s="36">
        <v>45580</v>
      </c>
      <c r="F10" s="54">
        <v>24</v>
      </c>
      <c r="G10" s="37">
        <v>120</v>
      </c>
      <c r="H10" s="34" t="s">
        <v>232</v>
      </c>
      <c r="I10" s="41">
        <f t="shared" ca="1" si="1"/>
        <v>20</v>
      </c>
      <c r="J10" s="42" t="str">
        <f t="shared" ca="1" si="2"/>
        <v>Bald fällig</v>
      </c>
      <c r="K10" s="55">
        <f t="shared" si="3"/>
        <v>46310</v>
      </c>
      <c r="L10" s="33"/>
    </row>
    <row r="11" spans="1:12" ht="15.75" customHeight="1" x14ac:dyDescent="0.25">
      <c r="A11" s="31">
        <f t="shared" si="0"/>
        <v>6</v>
      </c>
      <c r="B11" s="45" t="s">
        <v>60</v>
      </c>
      <c r="C11" s="33" t="s">
        <v>233</v>
      </c>
      <c r="D11" s="36">
        <v>46336</v>
      </c>
      <c r="E11" s="36">
        <v>45973</v>
      </c>
      <c r="F11" s="54">
        <v>12</v>
      </c>
      <c r="G11" s="37">
        <v>280</v>
      </c>
      <c r="H11" s="34" t="s">
        <v>232</v>
      </c>
      <c r="I11" s="41">
        <f t="shared" ca="1" si="1"/>
        <v>41</v>
      </c>
      <c r="J11" s="42" t="str">
        <f t="shared" ca="1" si="2"/>
        <v>Geplant</v>
      </c>
      <c r="K11" s="55">
        <f t="shared" si="3"/>
        <v>46338</v>
      </c>
      <c r="L11" s="33"/>
    </row>
    <row r="12" spans="1:12" ht="15.75" customHeight="1" x14ac:dyDescent="0.25">
      <c r="A12" s="31">
        <f t="shared" si="0"/>
        <v>7</v>
      </c>
      <c r="B12" s="45" t="s">
        <v>90</v>
      </c>
      <c r="C12" s="33" t="s">
        <v>233</v>
      </c>
      <c r="D12" s="36">
        <v>46357</v>
      </c>
      <c r="E12" s="36">
        <v>45996</v>
      </c>
      <c r="F12" s="54">
        <v>12</v>
      </c>
      <c r="G12" s="37">
        <v>350</v>
      </c>
      <c r="H12" s="34" t="s">
        <v>232</v>
      </c>
      <c r="I12" s="41">
        <f t="shared" ca="1" si="1"/>
        <v>62</v>
      </c>
      <c r="J12" s="42" t="str">
        <f t="shared" ca="1" si="2"/>
        <v>Geplant</v>
      </c>
      <c r="K12" s="55">
        <f t="shared" si="3"/>
        <v>46361</v>
      </c>
      <c r="L12" s="33"/>
    </row>
    <row r="13" spans="1:12" ht="15.75" customHeight="1" x14ac:dyDescent="0.25">
      <c r="A13" s="31">
        <f t="shared" si="0"/>
        <v>8</v>
      </c>
      <c r="B13" s="45" t="s">
        <v>83</v>
      </c>
      <c r="C13" s="33" t="s">
        <v>233</v>
      </c>
      <c r="D13" s="36">
        <v>46049</v>
      </c>
      <c r="E13" s="36">
        <v>46049</v>
      </c>
      <c r="F13" s="54">
        <v>12</v>
      </c>
      <c r="G13" s="37">
        <v>410</v>
      </c>
      <c r="H13" s="34" t="s">
        <v>32</v>
      </c>
      <c r="I13" s="41" t="str">
        <f t="shared" ca="1" si="1"/>
        <v/>
      </c>
      <c r="J13" s="42" t="str">
        <f t="shared" ca="1" si="2"/>
        <v>Erledigt</v>
      </c>
      <c r="K13" s="55">
        <f t="shared" si="3"/>
        <v>46414</v>
      </c>
      <c r="L13" s="33"/>
    </row>
    <row r="14" spans="1:12" ht="15.75" customHeight="1" x14ac:dyDescent="0.25">
      <c r="A14" s="31">
        <f t="shared" si="0"/>
        <v>9</v>
      </c>
      <c r="B14" s="45" t="s">
        <v>95</v>
      </c>
      <c r="C14" s="33" t="s">
        <v>234</v>
      </c>
      <c r="D14" s="36">
        <v>46310</v>
      </c>
      <c r="E14" s="36">
        <v>46115</v>
      </c>
      <c r="F14" s="54">
        <v>6</v>
      </c>
      <c r="G14" s="37"/>
      <c r="H14" s="34" t="s">
        <v>232</v>
      </c>
      <c r="I14" s="41">
        <f t="shared" ca="1" si="1"/>
        <v>15</v>
      </c>
      <c r="J14" s="42" t="str">
        <f t="shared" ca="1" si="2"/>
        <v>Bald fällig</v>
      </c>
      <c r="K14" s="55">
        <f t="shared" si="3"/>
        <v>46298</v>
      </c>
      <c r="L14" s="33"/>
    </row>
    <row r="15" spans="1:12" ht="15.75" customHeight="1" x14ac:dyDescent="0.25">
      <c r="A15" s="31">
        <f t="shared" si="0"/>
        <v>10</v>
      </c>
      <c r="B15" s="45" t="s">
        <v>83</v>
      </c>
      <c r="C15" s="33" t="s">
        <v>235</v>
      </c>
      <c r="D15" s="36">
        <v>46186</v>
      </c>
      <c r="E15" s="36">
        <v>46186</v>
      </c>
      <c r="F15" s="54">
        <v>6</v>
      </c>
      <c r="G15" s="37"/>
      <c r="H15" s="34" t="s">
        <v>32</v>
      </c>
      <c r="I15" s="41" t="str">
        <f t="shared" ca="1" si="1"/>
        <v/>
      </c>
      <c r="J15" s="42" t="str">
        <f t="shared" ca="1" si="2"/>
        <v>Erledigt</v>
      </c>
      <c r="K15" s="55">
        <f t="shared" si="3"/>
        <v>46369</v>
      </c>
      <c r="L15" s="33"/>
    </row>
    <row r="16" spans="1:12" ht="15.75" customHeight="1" x14ac:dyDescent="0.25">
      <c r="A16" s="31">
        <f t="shared" si="0"/>
        <v>11</v>
      </c>
      <c r="B16" s="45" t="s">
        <v>127</v>
      </c>
      <c r="C16" s="33" t="s">
        <v>236</v>
      </c>
      <c r="D16" s="36">
        <v>46325</v>
      </c>
      <c r="E16" s="36">
        <v>45955</v>
      </c>
      <c r="F16" s="54">
        <v>12</v>
      </c>
      <c r="G16" s="37">
        <v>95</v>
      </c>
      <c r="H16" s="34" t="s">
        <v>232</v>
      </c>
      <c r="I16" s="41">
        <f t="shared" ca="1" si="1"/>
        <v>30</v>
      </c>
      <c r="J16" s="42" t="str">
        <f t="shared" ca="1" si="2"/>
        <v>Bald fällig</v>
      </c>
      <c r="K16" s="55">
        <f t="shared" si="3"/>
        <v>46320</v>
      </c>
      <c r="L16" s="33"/>
    </row>
    <row r="17" spans="1:12" ht="15.75" customHeight="1" x14ac:dyDescent="0.25">
      <c r="A17" s="31">
        <f t="shared" si="0"/>
        <v>12</v>
      </c>
      <c r="B17" s="45" t="s">
        <v>90</v>
      </c>
      <c r="C17" s="33" t="s">
        <v>236</v>
      </c>
      <c r="D17" s="36">
        <v>46402</v>
      </c>
      <c r="E17" s="36">
        <v>46034</v>
      </c>
      <c r="F17" s="54">
        <v>12</v>
      </c>
      <c r="G17" s="37">
        <v>95</v>
      </c>
      <c r="H17" s="34" t="s">
        <v>232</v>
      </c>
      <c r="I17" s="41">
        <f t="shared" ca="1" si="1"/>
        <v>107</v>
      </c>
      <c r="J17" s="42" t="str">
        <f t="shared" ca="1" si="2"/>
        <v>Geplant</v>
      </c>
      <c r="K17" s="55">
        <f t="shared" si="3"/>
        <v>46399</v>
      </c>
      <c r="L17" s="33"/>
    </row>
    <row r="18" spans="1:12" ht="15.75" customHeight="1" x14ac:dyDescent="0.25">
      <c r="A18" s="31">
        <f t="shared" si="0"/>
        <v>13</v>
      </c>
      <c r="B18" s="45" t="s">
        <v>60</v>
      </c>
      <c r="C18" s="33" t="s">
        <v>237</v>
      </c>
      <c r="D18" s="36">
        <v>46296</v>
      </c>
      <c r="E18" s="36">
        <v>46113</v>
      </c>
      <c r="F18" s="54">
        <v>6</v>
      </c>
      <c r="G18" s="37"/>
      <c r="H18" s="34" t="s">
        <v>232</v>
      </c>
      <c r="I18" s="41">
        <f t="shared" ca="1" si="1"/>
        <v>1</v>
      </c>
      <c r="J18" s="42" t="str">
        <f t="shared" ca="1" si="2"/>
        <v>Bald fällig</v>
      </c>
      <c r="K18" s="55">
        <f t="shared" si="3"/>
        <v>46296</v>
      </c>
      <c r="L18" s="33"/>
    </row>
    <row r="19" spans="1:12" ht="15.75" customHeight="1" x14ac:dyDescent="0.25">
      <c r="A19" s="31">
        <f t="shared" si="0"/>
        <v>14</v>
      </c>
      <c r="B19" s="45" t="s">
        <v>101</v>
      </c>
      <c r="C19" s="33" t="s">
        <v>237</v>
      </c>
      <c r="D19" s="36">
        <v>46371</v>
      </c>
      <c r="E19" s="36">
        <v>46188</v>
      </c>
      <c r="F19" s="54">
        <v>6</v>
      </c>
      <c r="G19" s="37"/>
      <c r="H19" s="34" t="s">
        <v>232</v>
      </c>
      <c r="I19" s="41">
        <f t="shared" ca="1" si="1"/>
        <v>76</v>
      </c>
      <c r="J19" s="42" t="str">
        <f t="shared" ca="1" si="2"/>
        <v>Geplant</v>
      </c>
      <c r="K19" s="55">
        <f t="shared" si="3"/>
        <v>46371</v>
      </c>
      <c r="L19" s="33"/>
    </row>
    <row r="20" spans="1:12" ht="15.75" customHeight="1" x14ac:dyDescent="0.25">
      <c r="A20" s="31">
        <f t="shared" si="0"/>
        <v>15</v>
      </c>
      <c r="B20" s="45" t="s">
        <v>112</v>
      </c>
      <c r="C20" s="33" t="s">
        <v>233</v>
      </c>
      <c r="D20" s="36">
        <v>46397</v>
      </c>
      <c r="E20" s="36">
        <v>46032</v>
      </c>
      <c r="F20" s="54">
        <v>12</v>
      </c>
      <c r="G20" s="37">
        <v>220</v>
      </c>
      <c r="H20" s="34" t="s">
        <v>232</v>
      </c>
      <c r="I20" s="41">
        <f t="shared" ca="1" si="1"/>
        <v>102</v>
      </c>
      <c r="J20" s="42" t="str">
        <f t="shared" ca="1" si="2"/>
        <v>Geplant</v>
      </c>
      <c r="K20" s="55">
        <f t="shared" si="3"/>
        <v>46397</v>
      </c>
      <c r="L20" s="33"/>
    </row>
    <row r="21" spans="1:12" ht="15.75" customHeight="1" x14ac:dyDescent="0.25">
      <c r="A21" s="31">
        <f t="shared" si="0"/>
        <v>16</v>
      </c>
      <c r="B21" s="45" t="s">
        <v>107</v>
      </c>
      <c r="C21" s="33" t="s">
        <v>233</v>
      </c>
      <c r="D21" s="36">
        <v>46351</v>
      </c>
      <c r="E21" s="36">
        <v>45981</v>
      </c>
      <c r="F21" s="54">
        <v>12</v>
      </c>
      <c r="G21" s="37">
        <v>300</v>
      </c>
      <c r="H21" s="34" t="s">
        <v>232</v>
      </c>
      <c r="I21" s="41">
        <f t="shared" ca="1" si="1"/>
        <v>56</v>
      </c>
      <c r="J21" s="42" t="str">
        <f t="shared" ca="1" si="2"/>
        <v>Geplant</v>
      </c>
      <c r="K21" s="55">
        <f t="shared" si="3"/>
        <v>46346</v>
      </c>
      <c r="L21" s="33"/>
    </row>
    <row r="22" spans="1:12" ht="15.75" customHeight="1" x14ac:dyDescent="0.25">
      <c r="A22" s="31">
        <f t="shared" si="0"/>
        <v>17</v>
      </c>
      <c r="B22" s="45" t="s">
        <v>133</v>
      </c>
      <c r="C22" s="33" t="s">
        <v>238</v>
      </c>
      <c r="D22" s="36">
        <v>46280</v>
      </c>
      <c r="E22" s="36">
        <v>46249</v>
      </c>
      <c r="F22" s="54"/>
      <c r="G22" s="37"/>
      <c r="H22" s="34" t="s">
        <v>32</v>
      </c>
      <c r="I22" s="41" t="str">
        <f t="shared" ca="1" si="1"/>
        <v/>
      </c>
      <c r="J22" s="42" t="str">
        <f t="shared" ca="1" si="2"/>
        <v>Erledigt</v>
      </c>
      <c r="K22" s="55" t="str">
        <f t="shared" si="3"/>
        <v/>
      </c>
      <c r="L22" s="33"/>
    </row>
    <row r="23" spans="1:12" ht="15.75" customHeight="1" x14ac:dyDescent="0.25">
      <c r="A23" s="31">
        <f t="shared" si="0"/>
        <v>18</v>
      </c>
      <c r="B23" s="45" t="s">
        <v>117</v>
      </c>
      <c r="C23" s="33" t="s">
        <v>234</v>
      </c>
      <c r="D23" s="36">
        <v>46371</v>
      </c>
      <c r="E23" s="36">
        <v>46122</v>
      </c>
      <c r="F23" s="54">
        <v>6</v>
      </c>
      <c r="G23" s="37"/>
      <c r="H23" s="34" t="s">
        <v>232</v>
      </c>
      <c r="I23" s="41">
        <f t="shared" ca="1" si="1"/>
        <v>76</v>
      </c>
      <c r="J23" s="42" t="str">
        <f t="shared" ca="1" si="2"/>
        <v>Geplant</v>
      </c>
      <c r="K23" s="55">
        <f t="shared" si="3"/>
        <v>46305</v>
      </c>
      <c r="L23" s="33"/>
    </row>
    <row r="24" spans="1:12" ht="15.75" customHeight="1" x14ac:dyDescent="0.25">
      <c r="A24" s="31" t="str">
        <f t="shared" si="0"/>
        <v/>
      </c>
      <c r="B24" s="34"/>
      <c r="C24" s="34"/>
      <c r="D24" s="36"/>
      <c r="E24" s="36"/>
      <c r="F24" s="54"/>
      <c r="G24" s="37"/>
      <c r="H24" s="34"/>
      <c r="I24" s="41" t="str">
        <f t="shared" ca="1" si="1"/>
        <v/>
      </c>
      <c r="J24" s="42" t="str">
        <f t="shared" ca="1" si="2"/>
        <v/>
      </c>
      <c r="K24" s="55" t="str">
        <f t="shared" si="3"/>
        <v/>
      </c>
      <c r="L24" s="34"/>
    </row>
    <row r="25" spans="1:12" ht="15.75" customHeight="1" x14ac:dyDescent="0.25">
      <c r="A25" s="31" t="str">
        <f t="shared" si="0"/>
        <v/>
      </c>
      <c r="B25" s="34"/>
      <c r="C25" s="34"/>
      <c r="D25" s="36"/>
      <c r="E25" s="36"/>
      <c r="F25" s="54"/>
      <c r="G25" s="37"/>
      <c r="H25" s="34"/>
      <c r="I25" s="41" t="str">
        <f t="shared" ca="1" si="1"/>
        <v/>
      </c>
      <c r="J25" s="42" t="str">
        <f t="shared" ca="1" si="2"/>
        <v/>
      </c>
      <c r="K25" s="55" t="str">
        <f t="shared" si="3"/>
        <v/>
      </c>
      <c r="L25" s="34"/>
    </row>
    <row r="26" spans="1:12" ht="15.75" customHeight="1" x14ac:dyDescent="0.25">
      <c r="A26" s="31" t="str">
        <f t="shared" si="0"/>
        <v/>
      </c>
      <c r="B26" s="34"/>
      <c r="C26" s="34"/>
      <c r="D26" s="36"/>
      <c r="E26" s="36"/>
      <c r="F26" s="54"/>
      <c r="G26" s="37"/>
      <c r="H26" s="34"/>
      <c r="I26" s="41" t="str">
        <f t="shared" ca="1" si="1"/>
        <v/>
      </c>
      <c r="J26" s="42" t="str">
        <f t="shared" ca="1" si="2"/>
        <v/>
      </c>
      <c r="K26" s="55" t="str">
        <f t="shared" si="3"/>
        <v/>
      </c>
      <c r="L26" s="34"/>
    </row>
    <row r="27" spans="1:12" ht="15.75" customHeight="1" x14ac:dyDescent="0.25">
      <c r="A27" s="31" t="str">
        <f t="shared" si="0"/>
        <v/>
      </c>
      <c r="B27" s="34"/>
      <c r="C27" s="34"/>
      <c r="D27" s="36"/>
      <c r="E27" s="36"/>
      <c r="F27" s="54"/>
      <c r="G27" s="37"/>
      <c r="H27" s="34"/>
      <c r="I27" s="41" t="str">
        <f t="shared" ca="1" si="1"/>
        <v/>
      </c>
      <c r="J27" s="42" t="str">
        <f t="shared" ca="1" si="2"/>
        <v/>
      </c>
      <c r="K27" s="55" t="str">
        <f t="shared" si="3"/>
        <v/>
      </c>
      <c r="L27" s="34"/>
    </row>
    <row r="28" spans="1:12" ht="15.75" customHeight="1" x14ac:dyDescent="0.25">
      <c r="A28" s="31" t="str">
        <f t="shared" si="0"/>
        <v/>
      </c>
      <c r="B28" s="34"/>
      <c r="C28" s="34"/>
      <c r="D28" s="36"/>
      <c r="E28" s="36"/>
      <c r="F28" s="54"/>
      <c r="G28" s="37"/>
      <c r="H28" s="34"/>
      <c r="I28" s="41" t="str">
        <f t="shared" ca="1" si="1"/>
        <v/>
      </c>
      <c r="J28" s="42" t="str">
        <f t="shared" ca="1" si="2"/>
        <v/>
      </c>
      <c r="K28" s="55" t="str">
        <f t="shared" si="3"/>
        <v/>
      </c>
      <c r="L28" s="34"/>
    </row>
    <row r="29" spans="1:12" ht="15.75" customHeight="1" x14ac:dyDescent="0.25">
      <c r="A29" s="31" t="str">
        <f t="shared" si="0"/>
        <v/>
      </c>
      <c r="B29" s="34"/>
      <c r="C29" s="34"/>
      <c r="D29" s="36"/>
      <c r="E29" s="36"/>
      <c r="F29" s="54"/>
      <c r="G29" s="37"/>
      <c r="H29" s="34"/>
      <c r="I29" s="41" t="str">
        <f t="shared" ca="1" si="1"/>
        <v/>
      </c>
      <c r="J29" s="42" t="str">
        <f t="shared" ca="1" si="2"/>
        <v/>
      </c>
      <c r="K29" s="55" t="str">
        <f t="shared" si="3"/>
        <v/>
      </c>
      <c r="L29" s="34"/>
    </row>
    <row r="30" spans="1:12" ht="15.75" customHeight="1" x14ac:dyDescent="0.25">
      <c r="A30" s="31" t="str">
        <f t="shared" si="0"/>
        <v/>
      </c>
      <c r="B30" s="34"/>
      <c r="C30" s="34"/>
      <c r="D30" s="36"/>
      <c r="E30" s="36"/>
      <c r="F30" s="54"/>
      <c r="G30" s="37"/>
      <c r="H30" s="34"/>
      <c r="I30" s="41" t="str">
        <f t="shared" ca="1" si="1"/>
        <v/>
      </c>
      <c r="J30" s="42" t="str">
        <f t="shared" ca="1" si="2"/>
        <v/>
      </c>
      <c r="K30" s="55" t="str">
        <f t="shared" si="3"/>
        <v/>
      </c>
      <c r="L30" s="34"/>
    </row>
    <row r="31" spans="1:12" ht="15.75" customHeight="1" x14ac:dyDescent="0.25">
      <c r="A31" s="31" t="str">
        <f t="shared" si="0"/>
        <v/>
      </c>
      <c r="B31" s="34"/>
      <c r="C31" s="34"/>
      <c r="D31" s="36"/>
      <c r="E31" s="36"/>
      <c r="F31" s="54"/>
      <c r="G31" s="37"/>
      <c r="H31" s="34"/>
      <c r="I31" s="41" t="str">
        <f t="shared" ca="1" si="1"/>
        <v/>
      </c>
      <c r="J31" s="42" t="str">
        <f t="shared" ca="1" si="2"/>
        <v/>
      </c>
      <c r="K31" s="55" t="str">
        <f t="shared" si="3"/>
        <v/>
      </c>
      <c r="L31" s="34"/>
    </row>
    <row r="32" spans="1:12" ht="15.75" customHeight="1" x14ac:dyDescent="0.25">
      <c r="A32" s="31" t="str">
        <f t="shared" si="0"/>
        <v/>
      </c>
      <c r="B32" s="34"/>
      <c r="C32" s="34"/>
      <c r="D32" s="36"/>
      <c r="E32" s="36"/>
      <c r="F32" s="54"/>
      <c r="G32" s="37"/>
      <c r="H32" s="34"/>
      <c r="I32" s="41" t="str">
        <f t="shared" ca="1" si="1"/>
        <v/>
      </c>
      <c r="J32" s="42" t="str">
        <f t="shared" ca="1" si="2"/>
        <v/>
      </c>
      <c r="K32" s="55" t="str">
        <f t="shared" si="3"/>
        <v/>
      </c>
      <c r="L32" s="34"/>
    </row>
    <row r="33" spans="1:12" ht="15.75" customHeight="1" x14ac:dyDescent="0.25">
      <c r="A33" s="31" t="str">
        <f t="shared" si="0"/>
        <v/>
      </c>
      <c r="B33" s="34"/>
      <c r="C33" s="34"/>
      <c r="D33" s="36"/>
      <c r="E33" s="36"/>
      <c r="F33" s="54"/>
      <c r="G33" s="37"/>
      <c r="H33" s="34"/>
      <c r="I33" s="41" t="str">
        <f t="shared" ca="1" si="1"/>
        <v/>
      </c>
      <c r="J33" s="42" t="str">
        <f t="shared" ca="1" si="2"/>
        <v/>
      </c>
      <c r="K33" s="55" t="str">
        <f t="shared" si="3"/>
        <v/>
      </c>
      <c r="L33" s="34"/>
    </row>
    <row r="34" spans="1:12" ht="15.75" customHeight="1" x14ac:dyDescent="0.25">
      <c r="A34" s="31" t="str">
        <f t="shared" si="0"/>
        <v/>
      </c>
      <c r="B34" s="34"/>
      <c r="C34" s="34"/>
      <c r="D34" s="36"/>
      <c r="E34" s="36"/>
      <c r="F34" s="54"/>
      <c r="G34" s="37"/>
      <c r="H34" s="34"/>
      <c r="I34" s="41" t="str">
        <f t="shared" ca="1" si="1"/>
        <v/>
      </c>
      <c r="J34" s="42" t="str">
        <f t="shared" ca="1" si="2"/>
        <v/>
      </c>
      <c r="K34" s="55" t="str">
        <f t="shared" si="3"/>
        <v/>
      </c>
      <c r="L34" s="34"/>
    </row>
    <row r="35" spans="1:12" ht="15.75" customHeight="1" x14ac:dyDescent="0.25">
      <c r="A35" s="31" t="str">
        <f t="shared" si="0"/>
        <v/>
      </c>
      <c r="B35" s="34"/>
      <c r="C35" s="34"/>
      <c r="D35" s="36"/>
      <c r="E35" s="36"/>
      <c r="F35" s="54"/>
      <c r="G35" s="37"/>
      <c r="H35" s="34"/>
      <c r="I35" s="41" t="str">
        <f t="shared" ca="1" si="1"/>
        <v/>
      </c>
      <c r="J35" s="42" t="str">
        <f t="shared" ca="1" si="2"/>
        <v/>
      </c>
      <c r="K35" s="55" t="str">
        <f t="shared" si="3"/>
        <v/>
      </c>
      <c r="L35" s="34"/>
    </row>
    <row r="36" spans="1:12" ht="15.75" customHeight="1" x14ac:dyDescent="0.25">
      <c r="A36" s="31" t="str">
        <f t="shared" si="0"/>
        <v/>
      </c>
      <c r="B36" s="34"/>
      <c r="C36" s="34"/>
      <c r="D36" s="36"/>
      <c r="E36" s="36"/>
      <c r="F36" s="54"/>
      <c r="G36" s="37"/>
      <c r="H36" s="34"/>
      <c r="I36" s="41" t="str">
        <f t="shared" ca="1" si="1"/>
        <v/>
      </c>
      <c r="J36" s="42" t="str">
        <f t="shared" ca="1" si="2"/>
        <v/>
      </c>
      <c r="K36" s="55" t="str">
        <f t="shared" si="3"/>
        <v/>
      </c>
      <c r="L36" s="34"/>
    </row>
    <row r="37" spans="1:12" ht="15.75" customHeight="1" x14ac:dyDescent="0.25">
      <c r="A37" s="31" t="str">
        <f t="shared" si="0"/>
        <v/>
      </c>
      <c r="B37" s="34"/>
      <c r="C37" s="34"/>
      <c r="D37" s="36"/>
      <c r="E37" s="36"/>
      <c r="F37" s="54"/>
      <c r="G37" s="37"/>
      <c r="H37" s="34"/>
      <c r="I37" s="41" t="str">
        <f t="shared" ca="1" si="1"/>
        <v/>
      </c>
      <c r="J37" s="42" t="str">
        <f t="shared" ca="1" si="2"/>
        <v/>
      </c>
      <c r="K37" s="55" t="str">
        <f t="shared" si="3"/>
        <v/>
      </c>
      <c r="L37" s="34"/>
    </row>
    <row r="38" spans="1:12" ht="15.75" customHeight="1" x14ac:dyDescent="0.25">
      <c r="A38" s="31" t="str">
        <f t="shared" si="0"/>
        <v/>
      </c>
      <c r="B38" s="34"/>
      <c r="C38" s="34"/>
      <c r="D38" s="36"/>
      <c r="E38" s="36"/>
      <c r="F38" s="54"/>
      <c r="G38" s="37"/>
      <c r="H38" s="34"/>
      <c r="I38" s="41" t="str">
        <f t="shared" ca="1" si="1"/>
        <v/>
      </c>
      <c r="J38" s="42" t="str">
        <f t="shared" ca="1" si="2"/>
        <v/>
      </c>
      <c r="K38" s="55" t="str">
        <f t="shared" si="3"/>
        <v/>
      </c>
      <c r="L38" s="34"/>
    </row>
    <row r="39" spans="1:12" ht="15.75" customHeight="1" x14ac:dyDescent="0.25">
      <c r="A39" s="31" t="str">
        <f t="shared" si="0"/>
        <v/>
      </c>
      <c r="B39" s="34"/>
      <c r="C39" s="34"/>
      <c r="D39" s="36"/>
      <c r="E39" s="36"/>
      <c r="F39" s="54"/>
      <c r="G39" s="37"/>
      <c r="H39" s="34"/>
      <c r="I39" s="41" t="str">
        <f t="shared" ca="1" si="1"/>
        <v/>
      </c>
      <c r="J39" s="42" t="str">
        <f t="shared" ca="1" si="2"/>
        <v/>
      </c>
      <c r="K39" s="55" t="str">
        <f t="shared" si="3"/>
        <v/>
      </c>
      <c r="L39" s="34"/>
    </row>
    <row r="40" spans="1:12" ht="15.75" customHeight="1" x14ac:dyDescent="0.25">
      <c r="A40" s="31" t="str">
        <f t="shared" si="0"/>
        <v/>
      </c>
      <c r="B40" s="34"/>
      <c r="C40" s="34"/>
      <c r="D40" s="36"/>
      <c r="E40" s="36"/>
      <c r="F40" s="54"/>
      <c r="G40" s="37"/>
      <c r="H40" s="34"/>
      <c r="I40" s="41" t="str">
        <f t="shared" ca="1" si="1"/>
        <v/>
      </c>
      <c r="J40" s="42" t="str">
        <f t="shared" ca="1" si="2"/>
        <v/>
      </c>
      <c r="K40" s="55" t="str">
        <f t="shared" si="3"/>
        <v/>
      </c>
      <c r="L40" s="34"/>
    </row>
  </sheetData>
  <autoFilter ref="A5:L40" xr:uid="{00000000-0009-0000-0000-000003000000}"/>
  <mergeCells count="5">
    <mergeCell ref="A1:L1"/>
    <mergeCell ref="A2:L2"/>
    <mergeCell ref="A3:L3"/>
    <mergeCell ref="A4:D4"/>
    <mergeCell ref="F4:L4"/>
  </mergeCells>
  <conditionalFormatting sqref="H6:H40">
    <cfRule type="cellIs" dxfId="6" priority="6" operator="equal">
      <formula>"Erledigt"</formula>
    </cfRule>
    <cfRule type="cellIs" dxfId="5" priority="7" operator="equal">
      <formula>"Offen"</formula>
    </cfRule>
  </conditionalFormatting>
  <conditionalFormatting sqref="I6:I40">
    <cfRule type="cellIs" dxfId="4" priority="8" operator="lessThan">
      <formula>0</formula>
    </cfRule>
  </conditionalFormatting>
  <conditionalFormatting sqref="J6:J40">
    <cfRule type="cellIs" dxfId="3" priority="2" operator="equal">
      <formula>"Überfällig"</formula>
    </cfRule>
    <cfRule type="cellIs" dxfId="2" priority="3" operator="equal">
      <formula>"Bald fällig"</formula>
    </cfRule>
    <cfRule type="cellIs" dxfId="1" priority="4" operator="equal">
      <formula>"Geplant"</formula>
    </cfRule>
    <cfRule type="cellIs" dxfId="0" priority="5" operator="equal">
      <formula>"Erledigt"</formula>
    </cfRule>
  </conditionalFormatting>
  <dataValidations count="2">
    <dataValidation type="list" allowBlank="1" sqref="C6:C40" xr:uid="{00000000-0002-0000-0300-000001000000}">
      <formula1>"HU/AU (Hauptuntersuchung),Inspektion (Wartung),Ölwechsel,Reifenwechsel (Sommer→Winter),Reifenwechsel (Winter→Sommer),UVV-Prüfung (jährlich),Führerscheinkontrolle Fahrer,Bremsen,Reparatur / Nachkontrolle,Sonstiges"</formula1>
      <formula2>0</formula2>
    </dataValidation>
    <dataValidation type="list" allowBlank="1" sqref="H6:H40" xr:uid="{00000000-0002-0000-0300-000002000000}">
      <formula1>"Offen,Erledigt"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300-000000000000}">
          <x14:formula1>
            <xm:f>Fahrzeuge!$B$6:$B$40</xm:f>
          </x14:formula1>
          <x14:formula2>
            <xm:f>0</xm:f>
          </x14:formula2>
          <xm:sqref>B6:B40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Dashboard</vt:lpstr>
      <vt:lpstr>Fahrzeuge</vt:lpstr>
      <vt:lpstr>Kostenerfassung</vt:lpstr>
      <vt:lpstr>Wartung &amp; Termine</vt:lpstr>
      <vt:lpstr>Fahrzeuge!Druckbereich</vt:lpstr>
      <vt:lpstr>Kostenerfassung!Druckbereich</vt:lpstr>
      <vt:lpstr>'Wartung &amp; Termine'!Druckbereich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2026-09-29T10:01:04Z</dcterms:created>
  <dcterms:modified xsi:type="dcterms:W3CDTF">2026-09-30T05:58:13Z</dcterms:modified>
  <dc:language>en-US</dc:language>
</cp:coreProperties>
</file>