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harts/chart3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C:\Users\sergi\Documents\SEO\SEO\AA_Webs\Excel Vorlage\Generador\"/>
    </mc:Choice>
  </mc:AlternateContent>
  <xr:revisionPtr revIDLastSave="0" documentId="13_ncr:1_{1F77F337-D2EE-44D4-A171-A184AEC0A001}" xr6:coauthVersionLast="47" xr6:coauthVersionMax="47" xr10:uidLastSave="{00000000-0000-0000-0000-000000000000}"/>
  <bookViews>
    <workbookView xWindow="-120" yWindow="-120" windowWidth="29040" windowHeight="15720" tabRatio="500" xr2:uid="{00000000-000D-0000-FFFF-FFFF00000000}"/>
  </bookViews>
  <sheets>
    <sheet name="Cockpit" sheetId="1" r:id="rId1"/>
    <sheet name="Flotte" sheetId="2" r:id="rId2"/>
    <sheet name="Kosten" sheetId="3" r:id="rId3"/>
    <sheet name="Termine" sheetId="4" r:id="rId4"/>
    <sheet name="Analyse" sheetId="5" r:id="rId5"/>
    <sheet name="Info" sheetId="6" r:id="rId6"/>
    <sheet name="Listen" sheetId="7" state="hidden" r:id="rId7"/>
  </sheets>
  <definedNames>
    <definedName name="_xlnm._FilterDatabase" localSheetId="1" hidden="1">Flotte!$B$5:$R$23</definedName>
    <definedName name="_xlnm._FilterDatabase" localSheetId="2" hidden="1">Kosten!$B$5:$K$55</definedName>
    <definedName name="_xlnm._FilterDatabase" localSheetId="3" hidden="1">Termine!$B$5:$H$27</definedName>
  </definedNames>
  <calcPr calcId="191029" iterateDelta="1E-4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loext="http://schemas.libreoffice.org/" uri="{7626C862-2A13-11E5-B345-FEFF819CDC9F}">
      <loext:extCalcPr stringRefSyntax="ExcelA1"/>
    </ext>
  </extLst>
</workbook>
</file>

<file path=xl/calcChain.xml><?xml version="1.0" encoding="utf-8"?>
<calcChain xmlns="http://schemas.openxmlformats.org/spreadsheetml/2006/main">
  <c r="D66" i="5" l="1"/>
  <c r="C66" i="5"/>
  <c r="E65" i="5"/>
  <c r="D65" i="5"/>
  <c r="C65" i="5"/>
  <c r="F65" i="5" s="1"/>
  <c r="G65" i="5" s="1"/>
  <c r="D64" i="5"/>
  <c r="C64" i="5"/>
  <c r="D63" i="5"/>
  <c r="C63" i="5"/>
  <c r="D62" i="5"/>
  <c r="C62" i="5"/>
  <c r="D61" i="5"/>
  <c r="C61" i="5"/>
  <c r="D60" i="5"/>
  <c r="C60" i="5"/>
  <c r="D59" i="5"/>
  <c r="C59" i="5"/>
  <c r="D58" i="5"/>
  <c r="C58" i="5"/>
  <c r="D57" i="5"/>
  <c r="C57" i="5"/>
  <c r="D56" i="5"/>
  <c r="C56" i="5"/>
  <c r="D55" i="5"/>
  <c r="D67" i="5" s="1"/>
  <c r="C55" i="5"/>
  <c r="C18" i="5"/>
  <c r="J27" i="4"/>
  <c r="F27" i="4"/>
  <c r="E27" i="4"/>
  <c r="J26" i="4"/>
  <c r="F26" i="4"/>
  <c r="E26" i="4"/>
  <c r="J25" i="4"/>
  <c r="F25" i="4"/>
  <c r="E25" i="4"/>
  <c r="J24" i="4"/>
  <c r="F24" i="4"/>
  <c r="E24" i="4"/>
  <c r="J23" i="4"/>
  <c r="F23" i="4"/>
  <c r="E23" i="4"/>
  <c r="J22" i="4"/>
  <c r="F22" i="4"/>
  <c r="E22" i="4"/>
  <c r="E21" i="4"/>
  <c r="F21" i="4" s="1"/>
  <c r="D21" i="4"/>
  <c r="J21" i="4" s="1"/>
  <c r="G20" i="4"/>
  <c r="D20" i="4"/>
  <c r="G19" i="4"/>
  <c r="D19" i="4"/>
  <c r="G18" i="4"/>
  <c r="F18" i="4"/>
  <c r="E18" i="4"/>
  <c r="J18" i="4" s="1"/>
  <c r="D18" i="4"/>
  <c r="G17" i="4"/>
  <c r="E17" i="4"/>
  <c r="F17" i="4" s="1"/>
  <c r="D17" i="4"/>
  <c r="J17" i="4" s="1"/>
  <c r="F16" i="4"/>
  <c r="E16" i="4"/>
  <c r="D16" i="4"/>
  <c r="J16" i="4" s="1"/>
  <c r="G15" i="4"/>
  <c r="E15" i="4"/>
  <c r="J15" i="4" s="1"/>
  <c r="D15" i="4"/>
  <c r="G14" i="4"/>
  <c r="E14" i="4"/>
  <c r="D14" i="4"/>
  <c r="J14" i="4" s="1"/>
  <c r="G13" i="4"/>
  <c r="D13" i="4"/>
  <c r="J12" i="4"/>
  <c r="G12" i="4"/>
  <c r="F12" i="4"/>
  <c r="E12" i="4"/>
  <c r="D12" i="4"/>
  <c r="G11" i="4"/>
  <c r="E11" i="4"/>
  <c r="J11" i="4" s="1"/>
  <c r="D11" i="4"/>
  <c r="G10" i="4"/>
  <c r="E10" i="4"/>
  <c r="D10" i="4"/>
  <c r="J10" i="4" s="1"/>
  <c r="D9" i="4"/>
  <c r="G8" i="4"/>
  <c r="E8" i="4"/>
  <c r="J8" i="4" s="1"/>
  <c r="D8" i="4"/>
  <c r="F8" i="4" s="1"/>
  <c r="G7" i="4"/>
  <c r="D7" i="4"/>
  <c r="E6" i="4"/>
  <c r="D6" i="4"/>
  <c r="J6" i="4" s="1"/>
  <c r="F56" i="3"/>
  <c r="I55" i="3"/>
  <c r="H55" i="3"/>
  <c r="I54" i="3"/>
  <c r="H54" i="3"/>
  <c r="I53" i="3"/>
  <c r="H53" i="3"/>
  <c r="I52" i="3"/>
  <c r="H52" i="3"/>
  <c r="I51" i="3"/>
  <c r="H51" i="3"/>
  <c r="I50" i="3"/>
  <c r="H50" i="3"/>
  <c r="I49" i="3"/>
  <c r="H49" i="3"/>
  <c r="I48" i="3"/>
  <c r="H48" i="3"/>
  <c r="I47" i="3"/>
  <c r="H47" i="3"/>
  <c r="I46" i="3"/>
  <c r="H46" i="3"/>
  <c r="I45" i="3"/>
  <c r="H45" i="3"/>
  <c r="I44" i="3"/>
  <c r="H44" i="3"/>
  <c r="I43" i="3"/>
  <c r="H43" i="3"/>
  <c r="I42" i="3"/>
  <c r="H42" i="3"/>
  <c r="H41" i="3"/>
  <c r="I41" i="3" s="1"/>
  <c r="C34" i="5" s="1"/>
  <c r="H40" i="3"/>
  <c r="I40" i="3" s="1"/>
  <c r="C49" i="5" s="1"/>
  <c r="I39" i="3"/>
  <c r="H39" i="3"/>
  <c r="H38" i="3"/>
  <c r="I38" i="3" s="1"/>
  <c r="C48" i="5" s="1"/>
  <c r="H37" i="3"/>
  <c r="I37" i="3" s="1"/>
  <c r="I36" i="3"/>
  <c r="H36" i="3"/>
  <c r="I35" i="3"/>
  <c r="C47" i="5" s="1"/>
  <c r="H35" i="3"/>
  <c r="H34" i="3"/>
  <c r="I34" i="3" s="1"/>
  <c r="I33" i="3"/>
  <c r="H33" i="3"/>
  <c r="I32" i="3"/>
  <c r="C46" i="5" s="1"/>
  <c r="H32" i="3"/>
  <c r="H31" i="3"/>
  <c r="I31" i="3" s="1"/>
  <c r="H30" i="3"/>
  <c r="I30" i="3" s="1"/>
  <c r="I29" i="3"/>
  <c r="C45" i="5" s="1"/>
  <c r="H29" i="3"/>
  <c r="H28" i="3"/>
  <c r="I28" i="3" s="1"/>
  <c r="H27" i="3"/>
  <c r="I27" i="3" s="1"/>
  <c r="I26" i="3"/>
  <c r="H26" i="3"/>
  <c r="I25" i="3"/>
  <c r="H25" i="3"/>
  <c r="H24" i="3"/>
  <c r="I24" i="3" s="1"/>
  <c r="I23" i="3"/>
  <c r="H23" i="3"/>
  <c r="I22" i="3"/>
  <c r="H22" i="3"/>
  <c r="H21" i="3"/>
  <c r="I21" i="3" s="1"/>
  <c r="H20" i="3"/>
  <c r="I20" i="3" s="1"/>
  <c r="I19" i="3"/>
  <c r="C43" i="5" s="1"/>
  <c r="H19" i="3"/>
  <c r="H18" i="3"/>
  <c r="I18" i="3" s="1"/>
  <c r="H17" i="3"/>
  <c r="I17" i="3" s="1"/>
  <c r="I16" i="3"/>
  <c r="C32" i="5" s="1"/>
  <c r="H16" i="3"/>
  <c r="I15" i="3"/>
  <c r="C13" i="5" s="1"/>
  <c r="H15" i="3"/>
  <c r="H14" i="3"/>
  <c r="I14" i="3" s="1"/>
  <c r="I13" i="3"/>
  <c r="C31" i="5" s="1"/>
  <c r="H13" i="3"/>
  <c r="I12" i="3"/>
  <c r="C15" i="5" s="1"/>
  <c r="H12" i="3"/>
  <c r="H11" i="3"/>
  <c r="I11" i="3" s="1"/>
  <c r="H10" i="3"/>
  <c r="I10" i="3" s="1"/>
  <c r="I9" i="3"/>
  <c r="E55" i="5" s="1"/>
  <c r="H9" i="3"/>
  <c r="H8" i="3"/>
  <c r="I8" i="3" s="1"/>
  <c r="H7" i="3"/>
  <c r="I7" i="3" s="1"/>
  <c r="I6" i="3"/>
  <c r="C41" i="5" s="1"/>
  <c r="H6" i="3"/>
  <c r="N55" i="1"/>
  <c r="K55" i="1"/>
  <c r="K54" i="1"/>
  <c r="N54" i="1" s="1"/>
  <c r="K53" i="1"/>
  <c r="N53" i="1" s="1"/>
  <c r="N52" i="1"/>
  <c r="K52" i="1"/>
  <c r="N51" i="1"/>
  <c r="K51" i="1"/>
  <c r="N9" i="1"/>
  <c r="J9" i="1"/>
  <c r="F9" i="1"/>
  <c r="B9" i="1"/>
  <c r="B5" i="1"/>
  <c r="C30" i="5" l="1"/>
  <c r="E57" i="5"/>
  <c r="F57" i="5" s="1"/>
  <c r="G57" i="5" s="1"/>
  <c r="C10" i="5"/>
  <c r="E58" i="5"/>
  <c r="F58" i="5" s="1"/>
  <c r="G58" i="5" s="1"/>
  <c r="C26" i="5"/>
  <c r="I56" i="3"/>
  <c r="C11" i="5"/>
  <c r="J13" i="4"/>
  <c r="C14" i="5"/>
  <c r="E61" i="5"/>
  <c r="F61" i="5" s="1"/>
  <c r="G61" i="5" s="1"/>
  <c r="C27" i="5"/>
  <c r="C16" i="5"/>
  <c r="E63" i="5"/>
  <c r="F63" i="5" s="1"/>
  <c r="G63" i="5" s="1"/>
  <c r="C42" i="5"/>
  <c r="F55" i="5"/>
  <c r="C29" i="5"/>
  <c r="E64" i="5"/>
  <c r="F64" i="5" s="1"/>
  <c r="G64" i="5" s="1"/>
  <c r="C17" i="5"/>
  <c r="E59" i="5"/>
  <c r="F59" i="5" s="1"/>
  <c r="G59" i="5" s="1"/>
  <c r="C28" i="5"/>
  <c r="C12" i="5"/>
  <c r="C44" i="5"/>
  <c r="F56" i="5"/>
  <c r="G56" i="5" s="1"/>
  <c r="C33" i="5"/>
  <c r="E13" i="4"/>
  <c r="C8" i="5"/>
  <c r="E56" i="5"/>
  <c r="E67" i="5" s="1"/>
  <c r="E60" i="5"/>
  <c r="F60" i="5" s="1"/>
  <c r="G60" i="5" s="1"/>
  <c r="E9" i="4"/>
  <c r="J9" i="4" s="1"/>
  <c r="F13" i="4"/>
  <c r="F9" i="4"/>
  <c r="C9" i="5"/>
  <c r="C19" i="5"/>
  <c r="H56" i="3"/>
  <c r="F10" i="4"/>
  <c r="F14" i="4"/>
  <c r="F6" i="4"/>
  <c r="E19" i="4"/>
  <c r="F19" i="4" s="1"/>
  <c r="E62" i="5"/>
  <c r="F62" i="5" s="1"/>
  <c r="G62" i="5" s="1"/>
  <c r="E66" i="5"/>
  <c r="F66" i="5" s="1"/>
  <c r="G66" i="5" s="1"/>
  <c r="E7" i="4"/>
  <c r="F7" i="4" s="1"/>
  <c r="F11" i="4"/>
  <c r="F15" i="4"/>
  <c r="C67" i="5"/>
  <c r="E20" i="4"/>
  <c r="J20" i="4" s="1"/>
  <c r="F20" i="4"/>
  <c r="J19" i="4" l="1"/>
  <c r="G55" i="5"/>
  <c r="G67" i="5" s="1"/>
  <c r="F67" i="5"/>
  <c r="J14" i="1" s="1"/>
  <c r="J7" i="4"/>
  <c r="C35" i="5"/>
  <c r="D26" i="5" s="1"/>
  <c r="C20" i="5"/>
  <c r="D28" i="5"/>
  <c r="N14" i="1"/>
  <c r="F14" i="1" l="1"/>
  <c r="B14" i="1"/>
  <c r="D13" i="5"/>
  <c r="D18" i="5"/>
  <c r="D15" i="5"/>
  <c r="C54" i="1"/>
  <c r="C53" i="1"/>
  <c r="B51" i="1"/>
  <c r="B53" i="1"/>
  <c r="B54" i="1"/>
  <c r="C52" i="1"/>
  <c r="B52" i="1"/>
  <c r="G53" i="1"/>
  <c r="B56" i="1"/>
  <c r="G52" i="1"/>
  <c r="G51" i="1"/>
  <c r="B55" i="1"/>
  <c r="G56" i="1"/>
  <c r="C56" i="1"/>
  <c r="G55" i="1"/>
  <c r="C51" i="1"/>
  <c r="C55" i="1"/>
  <c r="G54" i="1"/>
  <c r="D8" i="5"/>
  <c r="D11" i="5"/>
  <c r="D12" i="5"/>
  <c r="D17" i="5"/>
  <c r="D31" i="5"/>
  <c r="D32" i="5"/>
  <c r="D34" i="5"/>
  <c r="D30" i="5"/>
  <c r="D27" i="5"/>
  <c r="D19" i="5"/>
  <c r="D16" i="5"/>
  <c r="D10" i="5"/>
  <c r="D9" i="5"/>
  <c r="D29" i="5"/>
  <c r="D33" i="5"/>
  <c r="D14" i="5"/>
</calcChain>
</file>

<file path=xl/sharedStrings.xml><?xml version="1.0" encoding="utf-8"?>
<sst xmlns="http://schemas.openxmlformats.org/spreadsheetml/2006/main" count="552" uniqueCount="298">
  <si>
    <t>Nordanker Services GmbH</t>
  </si>
  <si>
    <t>FUHRPARK-REPORTING</t>
  </si>
  <si>
    <t>FAHRZEUGE GESAMT</t>
  </si>
  <si>
    <t>AKTIVE FAHRZEUGE</t>
  </si>
  <si>
    <t>E-ANTEIL FLOTTE</t>
  </si>
  <si>
    <t>IN WARTUNG</t>
  </si>
  <si>
    <t>im Bestand</t>
  </si>
  <si>
    <t>einsatzbereit</t>
  </si>
  <si>
    <t>rein elektrisch</t>
  </si>
  <si>
    <t>aktuell in der Werkstatt</t>
  </si>
  <si>
    <t>KOSTEN GESAMT</t>
  </si>
  <si>
    <t>Ø KOSTEN / FAHRZEUG</t>
  </si>
  <si>
    <t>TCO FLOTTE / MONAT</t>
  </si>
  <si>
    <t>OFFENE TERMINE</t>
  </si>
  <si>
    <t>Brutto, YTD 2026</t>
  </si>
  <si>
    <t>aktive Fahrzeuge</t>
  </si>
  <si>
    <t>inkl. Wertverlust</t>
  </si>
  <si>
    <t>überfällig + bald fällig</t>
  </si>
  <si>
    <t>Kosten nach Kategorie</t>
  </si>
  <si>
    <t>Kosten je Fahrzeug</t>
  </si>
  <si>
    <t>Monatlicher Kostenverlauf 2026</t>
  </si>
  <si>
    <t>Kritische Termine</t>
  </si>
  <si>
    <t>Statusübersicht Flotte</t>
  </si>
  <si>
    <t>Die dringendsten Fälligkeiten</t>
  </si>
  <si>
    <t>Kennzeichen</t>
  </si>
  <si>
    <t>Terminart</t>
  </si>
  <si>
    <t>Rest</t>
  </si>
  <si>
    <t>Status</t>
  </si>
  <si>
    <t>Anzahl</t>
  </si>
  <si>
    <t>Anteil</t>
  </si>
  <si>
    <t>Aktiv</t>
  </si>
  <si>
    <t>In Wartung</t>
  </si>
  <si>
    <t>Reserviert</t>
  </si>
  <si>
    <t>Stillgelegt</t>
  </si>
  <si>
    <t>Verkauft</t>
  </si>
  <si>
    <t>Hinweis: Pflegen Sie Daten ausschließlich in den Blättern „Flotte“, „Kosten“ und „Termine“. Dieses Cockpit und die Analyse aktualisieren sich automatisch. Alle Beispieldaten sind frei erfunden.</t>
  </si>
  <si>
    <t>FLOTTE</t>
  </si>
  <si>
    <t>Fahrzeugstammdaten – das Kennzeichen ist der eindeutige Schlüssel für Kosten, Termine und Analyse.</t>
  </si>
  <si>
    <t>FIN</t>
  </si>
  <si>
    <t>Marke</t>
  </si>
  <si>
    <t>Modell</t>
  </si>
  <si>
    <t>Segment</t>
  </si>
  <si>
    <t>Antrieb</t>
  </si>
  <si>
    <t>Erstzulassung</t>
  </si>
  <si>
    <t>Vertragsart</t>
  </si>
  <si>
    <t>Vertragsende</t>
  </si>
  <si>
    <t>Fahrer / Halter</t>
  </si>
  <si>
    <t>Abteilung</t>
  </si>
  <si>
    <t>Standort</t>
  </si>
  <si>
    <t>Listenpreis</t>
  </si>
  <si>
    <t>Restwert</t>
  </si>
  <si>
    <t>Rate/Mon.</t>
  </si>
  <si>
    <t>km-Stand</t>
  </si>
  <si>
    <t>S-NA 100E</t>
  </si>
  <si>
    <t>WVWZZZE1ZPP100100</t>
  </si>
  <si>
    <t>VW</t>
  </si>
  <si>
    <t>ID. Buzz Cargo</t>
  </si>
  <si>
    <t>Transporter</t>
  </si>
  <si>
    <t>Elektro</t>
  </si>
  <si>
    <t>Leasing</t>
  </si>
  <si>
    <t>Poolfahrzeug</t>
  </si>
  <si>
    <t>Logistik</t>
  </si>
  <si>
    <t>Stuttgart</t>
  </si>
  <si>
    <t>S-NA 210</t>
  </si>
  <si>
    <t>TMBJJ7NX0P0210210</t>
  </si>
  <si>
    <t>Škoda</t>
  </si>
  <si>
    <t>Octavia Combi</t>
  </si>
  <si>
    <t>Firmenwagen</t>
  </si>
  <si>
    <t>Diesel</t>
  </si>
  <si>
    <t>Brandt, Carla</t>
  </si>
  <si>
    <t>Vertrieb</t>
  </si>
  <si>
    <t>S-NA 245</t>
  </si>
  <si>
    <t>VR3E5FGERPY245245</t>
  </si>
  <si>
    <t>Peugeot</t>
  </si>
  <si>
    <t>308 SW</t>
  </si>
  <si>
    <t>Benzin</t>
  </si>
  <si>
    <t>Finanzierung</t>
  </si>
  <si>
    <t>Roth, Sebastian</t>
  </si>
  <si>
    <t>Marketing</t>
  </si>
  <si>
    <t>F-NA 320</t>
  </si>
  <si>
    <t>WBA5A70090F320320</t>
  </si>
  <si>
    <t>BMW</t>
  </si>
  <si>
    <t>520e Touring</t>
  </si>
  <si>
    <t>Plug-in-Hybrid</t>
  </si>
  <si>
    <t>Iversen, Malou</t>
  </si>
  <si>
    <t>Geschäftsleitung</t>
  </si>
  <si>
    <t>Frankfurt</t>
  </si>
  <si>
    <t>F-NA 415</t>
  </si>
  <si>
    <t>W1V4476931N415415</t>
  </si>
  <si>
    <t>Mercedes-Benz</t>
  </si>
  <si>
    <t>eVito Kastenwagen</t>
  </si>
  <si>
    <t>Servicefahrzeug</t>
  </si>
  <si>
    <t>Keller, Jonas</t>
  </si>
  <si>
    <t>Service</t>
  </si>
  <si>
    <t>F-NA 360</t>
  </si>
  <si>
    <t>VF1MA000366360360</t>
  </si>
  <si>
    <t>Renault</t>
  </si>
  <si>
    <t>Master L2H2</t>
  </si>
  <si>
    <t>Kauf</t>
  </si>
  <si>
    <t>Fahrgemeinschaft</t>
  </si>
  <si>
    <t>D-NA 530</t>
  </si>
  <si>
    <t>WF0XXXTTGXNC530530</t>
  </si>
  <si>
    <t>Ford</t>
  </si>
  <si>
    <t>Transit Custom</t>
  </si>
  <si>
    <t>Schuster, Mira</t>
  </si>
  <si>
    <t>Düsseldorf</t>
  </si>
  <si>
    <t>D-NA 640</t>
  </si>
  <si>
    <t>SB1KZ3JE00E640640</t>
  </si>
  <si>
    <t>Toyota</t>
  </si>
  <si>
    <t>Corolla TS</t>
  </si>
  <si>
    <t>Hybrid</t>
  </si>
  <si>
    <t>Allgemein</t>
  </si>
  <si>
    <t>N-NA 755</t>
  </si>
  <si>
    <t>WAUZZZFZ2P0755755</t>
  </si>
  <si>
    <t>Audi</t>
  </si>
  <si>
    <t>Q4 e-tron</t>
  </si>
  <si>
    <t>Baumann, Lars</t>
  </si>
  <si>
    <t>Nürnberg</t>
  </si>
  <si>
    <t>N-NA 860</t>
  </si>
  <si>
    <t>WV2ZZZSKZP0860860</t>
  </si>
  <si>
    <t>Caddy Cargo</t>
  </si>
  <si>
    <t>Winkler, Frida</t>
  </si>
  <si>
    <t>H-NA 970</t>
  </si>
  <si>
    <t>WMA06XZZ0NP970970</t>
  </si>
  <si>
    <t>MAN</t>
  </si>
  <si>
    <t>TGE 3.180</t>
  </si>
  <si>
    <t>Hannover</t>
  </si>
  <si>
    <t>H-NA 985</t>
  </si>
  <si>
    <t>VSSZZZK1ZPR985985</t>
  </si>
  <si>
    <t>Cupra</t>
  </si>
  <si>
    <t>Born</t>
  </si>
  <si>
    <t>KOSTEN</t>
  </si>
  <si>
    <t>Alle laufenden Ausgaben. MwSt-Betrag und Brutto werden automatisch berechnet.</t>
  </si>
  <si>
    <t>Datum</t>
  </si>
  <si>
    <t>Kategorie</t>
  </si>
  <si>
    <t>Beschreibung</t>
  </si>
  <si>
    <t>Netto</t>
  </si>
  <si>
    <t>MwSt %</t>
  </si>
  <si>
    <t>MwSt-Betrag</t>
  </si>
  <si>
    <t>Brutto</t>
  </si>
  <si>
    <t>Beleg-Nr.</t>
  </si>
  <si>
    <t>Kraftstoff &amp; Ladung</t>
  </si>
  <si>
    <t>Diesel Flottenkarte</t>
  </si>
  <si>
    <t>BK26-0001</t>
  </si>
  <si>
    <t>Ladestrom + Benzin</t>
  </si>
  <si>
    <t>BK26-0002</t>
  </si>
  <si>
    <t>Wartung</t>
  </si>
  <si>
    <t>Inspektion 90.000 km</t>
  </si>
  <si>
    <t>BK26-0003</t>
  </si>
  <si>
    <t>Ladestrom Depot</t>
  </si>
  <si>
    <t>BK26-0004</t>
  </si>
  <si>
    <t>Versicherung</t>
  </si>
  <si>
    <t>Kfz-Haftpflicht Q1</t>
  </si>
  <si>
    <t>BK26-0005</t>
  </si>
  <si>
    <t>Reparatur</t>
  </si>
  <si>
    <t>Schiebetür Instandsetzung</t>
  </si>
  <si>
    <t>BK26-0006</t>
  </si>
  <si>
    <t>Benzin/Hybrid</t>
  </si>
  <si>
    <t>BK26-0007</t>
  </si>
  <si>
    <t>Leasing/Finanzierung</t>
  </si>
  <si>
    <t>Monatsrate</t>
  </si>
  <si>
    <t>BK26-0008</t>
  </si>
  <si>
    <t>Schnellladung</t>
  </si>
  <si>
    <t>BK26-0009</t>
  </si>
  <si>
    <t>Ölservice + Bremsen</t>
  </si>
  <si>
    <t>BK26-0010</t>
  </si>
  <si>
    <t>Reifen</t>
  </si>
  <si>
    <t>Winterräder Satz</t>
  </si>
  <si>
    <t>BK26-0011</t>
  </si>
  <si>
    <t>Kfz-Steuer</t>
  </si>
  <si>
    <t>Jahressteuer 2026</t>
  </si>
  <si>
    <t>BK26-0012</t>
  </si>
  <si>
    <t>BK26-0013</t>
  </si>
  <si>
    <t>Maut &amp; Parken</t>
  </si>
  <si>
    <t>Parkhaus Zentrale</t>
  </si>
  <si>
    <t>BK26-0014</t>
  </si>
  <si>
    <t>Ladestrom Werkstatt</t>
  </si>
  <si>
    <t>BK26-0015</t>
  </si>
  <si>
    <t>Kupplung</t>
  </si>
  <si>
    <t>BK26-0016</t>
  </si>
  <si>
    <t>Software-Update + Check</t>
  </si>
  <si>
    <t>BK26-0017</t>
  </si>
  <si>
    <t>BK26-0018</t>
  </si>
  <si>
    <t>BK26-0019</t>
  </si>
  <si>
    <t>Sommerreifen Montage</t>
  </si>
  <si>
    <t>BK26-0020</t>
  </si>
  <si>
    <t>Kasko Jahresbeitrag</t>
  </si>
  <si>
    <t>BK26-0021</t>
  </si>
  <si>
    <t>BK26-0022</t>
  </si>
  <si>
    <t>Anlasser</t>
  </si>
  <si>
    <t>BK26-0023</t>
  </si>
  <si>
    <t>BK26-0024</t>
  </si>
  <si>
    <t>Inspektion</t>
  </si>
  <si>
    <t>BK26-0025</t>
  </si>
  <si>
    <t>BK26-0026</t>
  </si>
  <si>
    <t>BK26-0027</t>
  </si>
  <si>
    <t>Umweltzone Vignette</t>
  </si>
  <si>
    <t>BK26-0028</t>
  </si>
  <si>
    <t>Klimaservice</t>
  </si>
  <si>
    <t>BK26-0029</t>
  </si>
  <si>
    <t>BK26-0030</t>
  </si>
  <si>
    <t>Frontscheibe</t>
  </si>
  <si>
    <t>BK26-0031</t>
  </si>
  <si>
    <t>BK26-0032</t>
  </si>
  <si>
    <t>Reifenkontrolle + Achse</t>
  </si>
  <si>
    <t>BK26-0033</t>
  </si>
  <si>
    <t>BK26-0034</t>
  </si>
  <si>
    <t>BK26-0035</t>
  </si>
  <si>
    <t>Sonstiges</t>
  </si>
  <si>
    <t>Ersatzschlüssel</t>
  </si>
  <si>
    <t>BK26-0036</t>
  </si>
  <si>
    <t>Summe</t>
  </si>
  <si>
    <t>TERMINE</t>
  </si>
  <si>
    <t>Fristen und Fälligkeiten. „Rest“ und Ampel berechnen sich automatisch aus dem heutigen Datum.</t>
  </si>
  <si>
    <t>Fällig am</t>
  </si>
  <si>
    <t>Ampel</t>
  </si>
  <si>
    <t>Zuletzt am</t>
  </si>
  <si>
    <t>Intervall / Hinweis</t>
  </si>
  <si>
    <t>Anschluss klären</t>
  </si>
  <si>
    <t>HU/AU (Hauptuntersuchung)</t>
  </si>
  <si>
    <t>Alle 24 Monate</t>
  </si>
  <si>
    <t>Sicherheitsprüfung (UVV)</t>
  </si>
  <si>
    <t>Jährlich – überfällig!</t>
  </si>
  <si>
    <t>Rückgabe planen</t>
  </si>
  <si>
    <t>Jährlich</t>
  </si>
  <si>
    <t>Führerscheinkontrolle</t>
  </si>
  <si>
    <t>Halbjährlich</t>
  </si>
  <si>
    <t>Reifenwechsel</t>
  </si>
  <si>
    <t>Saisonal</t>
  </si>
  <si>
    <t>Alle 24 Monate – dringend</t>
  </si>
  <si>
    <t>Quartalsweise</t>
  </si>
  <si>
    <t>ANALYSE</t>
  </si>
  <si>
    <t>Automatische Auswertungen als Datenbasis für das Cockpit. Alles rechnet sich selbst.</t>
  </si>
  <si>
    <t>Brutto, laufendes Jahr</t>
  </si>
  <si>
    <t>Gesamt</t>
  </si>
  <si>
    <t>Kosten je Kategorie</t>
  </si>
  <si>
    <t>Monatsverlauf 2026</t>
  </si>
  <si>
    <t>Brutto je Monat</t>
  </si>
  <si>
    <t>Monat</t>
  </si>
  <si>
    <t>Jan</t>
  </si>
  <si>
    <t>Feb</t>
  </si>
  <si>
    <t>Mär</t>
  </si>
  <si>
    <t>Apr</t>
  </si>
  <si>
    <t>Mai</t>
  </si>
  <si>
    <t>Jun</t>
  </si>
  <si>
    <t>Jul</t>
  </si>
  <si>
    <t>Aug</t>
  </si>
  <si>
    <t>Sep</t>
  </si>
  <si>
    <t>TCO-Schätzung</t>
  </si>
  <si>
    <t>Monatliche Gesamtkosten je Fahrzeug (Total Cost of Ownership)</t>
  </si>
  <si>
    <t>Wertverlust/Mon.</t>
  </si>
  <si>
    <t>Betrieb/Mon.</t>
  </si>
  <si>
    <t>TCO/Mon.</t>
  </si>
  <si>
    <t>TCO/Jahr</t>
  </si>
  <si>
    <t>Flotte gesamt</t>
  </si>
  <si>
    <t>INFORMATION &amp; ANLEITUNG</t>
  </si>
  <si>
    <t>Kurzüberblick, Blattstruktur, Farblogik und Pflegehinweise zu dieser Vorlage.</t>
  </si>
  <si>
    <t>Worum es geht</t>
  </si>
  <si>
    <t>Diese Arbeitsmappe ist ein kompaktes Fuhrpark-Reporting: Fahrzeugstammdaten, laufende Kosten und Termine an einem Ort, verdichtet zu Kennzahlen und Diagrammen. Alle Auswertungen berechnen sich automatisch aus Ihren Eingaben. Die Mappe enthält keine Makros und läuft vollständig offline.</t>
  </si>
  <si>
    <t>Die Blätter der Reihe nach</t>
  </si>
  <si>
    <t>Blatt</t>
  </si>
  <si>
    <t>Inhalt</t>
  </si>
  <si>
    <t>Cockpit</t>
  </si>
  <si>
    <t>Management-Übersicht mit Kennzahlen, Diagrammen (Kategorie, Fahrzeug, Monatsverlauf) und kritischen Terminen. Nur ansehen – nichts eintragen.</t>
  </si>
  <si>
    <t>Flotte</t>
  </si>
  <si>
    <t>Stammdaten je Fahrzeug. Das Kennzeichen ist der eindeutige Schlüssel für alle Verknüpfungen.</t>
  </si>
  <si>
    <t>Kosten</t>
  </si>
  <si>
    <t>Laufende Ausgaben je Beleg. MwSt-Betrag und Brutto werden automatisch gerechnet.</t>
  </si>
  <si>
    <t>Termine</t>
  </si>
  <si>
    <t>Fristen wie HU/AU, UVV, Inspektion oder Vertragsende – mit automatischer Ampel.</t>
  </si>
  <si>
    <t>Analyse</t>
  </si>
  <si>
    <t>Datenbasis des Cockpits: Summen je Fahrzeug und Kategorie, Monatsverlauf und TCO-Schätzung.</t>
  </si>
  <si>
    <t>Info</t>
  </si>
  <si>
    <t>Dieses Blatt.</t>
  </si>
  <si>
    <t>Farb- und Bedienlogik</t>
  </si>
  <si>
    <t>Blaue Schrift</t>
  </si>
  <si>
    <t>Eingabefelder – hier tragen Sie Ihre Werte ein.</t>
  </si>
  <si>
    <t>Marineblaue Schrift</t>
  </si>
  <si>
    <t>Automatisch berechnete Werte – bitte nicht überschreiben.</t>
  </si>
  <si>
    <t>Grün</t>
  </si>
  <si>
    <t>Status „Aktiv“ bzw. Ampel „OK“ – kein Handlungsbedarf.</t>
  </si>
  <si>
    <t>Gelb</t>
  </si>
  <si>
    <t>Ampel „Bald fällig“ – innerhalb von 30 Tagen einplanen.</t>
  </si>
  <si>
    <t>Rot</t>
  </si>
  <si>
    <t>Ampel „Überfällig“ – umgehend handeln.</t>
  </si>
  <si>
    <t>Messing-Linie</t>
  </si>
  <si>
    <t>Akzent- und Trennlinien der Abschnitte.</t>
  </si>
  <si>
    <t>In vier Schritten startklar</t>
  </si>
  <si>
    <t>1.  Fahrzeuge im Blatt „Flotte“ anlegen – ein eindeutiges Kennzeichen je Zeile.</t>
  </si>
  <si>
    <t>2.  Laufende Kosten im Blatt „Kosten“ erfassen; Kennzeichen und Kategorie per Dropdown wählen.</t>
  </si>
  <si>
    <t>3.  Fristen im Blatt „Termine“ pflegen – die Ampel rechnet automatisch.</t>
  </si>
  <si>
    <t>4.  Ergebnisse im „Cockpit“ und in der „Analyse“ verfolgen; beide aktualisieren sich selbst.</t>
  </si>
  <si>
    <t>Alle Namen, Kennzeichen, Firmen- und Zahlenangaben in dieser Vorlage sind frei erfunden und dienen nur der Veranschaulichung. Für belastbare Auswertungen verwenden Sie in allen Blättern identische Kennzeichen.</t>
  </si>
  <si>
    <t>Hilfsdaten für Dropdowns – bitte nicht löschen.</t>
  </si>
  <si>
    <t>MwSt</t>
  </si>
  <si>
    <t>Langzeitmiete</t>
  </si>
  <si>
    <t>LKW</t>
  </si>
  <si>
    <t>LPG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</si>
</sst>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164" formatCode="#,##0&quot; €&quot;;[Red]\-#,##0&quot; €&quot;;\–"/>
    <numFmt numFmtId="165" formatCode="0&quot; T&quot;;\-0&quot; T&quot;"/>
    <numFmt numFmtId="166" formatCode="dd\.mm\.yyyy"/>
    <numFmt numFmtId="167" formatCode="#,##0&quot; km&quot;"/>
    <numFmt numFmtId="168" formatCode="#,##0.00&quot; €&quot;;[Red]\-#,##0.00&quot; €&quot;;\–"/>
    <numFmt numFmtId="169" formatCode="0.0%"/>
  </numFmts>
  <fonts count="24" x14ac:knownFonts="1">
    <font>
      <sz val="11"/>
      <color theme="1"/>
      <name val="Calibri"/>
      <family val="2"/>
      <charset val="1"/>
    </font>
    <font>
      <b/>
      <sz val="11"/>
      <color rgb="FFE8DDC7"/>
      <name val="Calibri"/>
      <charset val="1"/>
    </font>
    <font>
      <b/>
      <sz val="22"/>
      <color rgb="FFFFFFFF"/>
      <name val="Calibri"/>
      <charset val="1"/>
    </font>
    <font>
      <sz val="9"/>
      <color rgb="FF8598A9"/>
      <name val="Calibri"/>
      <charset val="1"/>
    </font>
    <font>
      <b/>
      <sz val="9"/>
      <color rgb="FF8598A9"/>
      <name val="Calibri"/>
      <charset val="1"/>
    </font>
    <font>
      <b/>
      <sz val="22"/>
      <color rgb="FF22374B"/>
      <name val="Calibri"/>
      <charset val="1"/>
    </font>
    <font>
      <sz val="9"/>
      <color rgb="FF5E7C97"/>
      <name val="Calibri"/>
      <charset val="1"/>
    </font>
    <font>
      <b/>
      <sz val="13"/>
      <color rgb="FF22374B"/>
      <name val="Calibri"/>
      <charset val="1"/>
    </font>
    <font>
      <i/>
      <sz val="9"/>
      <color rgb="FF8598A9"/>
      <name val="Calibri"/>
      <charset val="1"/>
    </font>
    <font>
      <b/>
      <sz val="9"/>
      <color rgb="FFFFFFFF"/>
      <name val="Calibri"/>
      <charset val="1"/>
    </font>
    <font>
      <b/>
      <sz val="9"/>
      <color rgb="FF22374B"/>
      <name val="Calibri"/>
      <charset val="1"/>
    </font>
    <font>
      <sz val="9"/>
      <color rgb="FF2B2B2B"/>
      <name val="Calibri"/>
      <charset val="1"/>
    </font>
    <font>
      <b/>
      <sz val="18"/>
      <color rgb="FF22374B"/>
      <name val="Calibri"/>
      <charset val="1"/>
    </font>
    <font>
      <i/>
      <sz val="10"/>
      <color rgb="FF8598A9"/>
      <name val="Calibri"/>
      <charset val="1"/>
    </font>
    <font>
      <b/>
      <sz val="9"/>
      <color rgb="FF1F4E79"/>
      <name val="Calibri"/>
      <charset val="1"/>
    </font>
    <font>
      <sz val="9"/>
      <color rgb="FF1F4E79"/>
      <name val="Calibri"/>
      <charset val="1"/>
    </font>
    <font>
      <sz val="9"/>
      <color rgb="FF22374B"/>
      <name val="Calibri"/>
      <charset val="1"/>
    </font>
    <font>
      <b/>
      <sz val="10"/>
      <color rgb="FF22374B"/>
      <name val="Calibri"/>
      <charset val="1"/>
    </font>
    <font>
      <b/>
      <sz val="9"/>
      <color rgb="FF2B2B2B"/>
      <name val="Calibri"/>
      <charset val="1"/>
    </font>
    <font>
      <sz val="8"/>
      <color rgb="FF8598A9"/>
      <name val="Calibri"/>
      <charset val="1"/>
    </font>
    <font>
      <b/>
      <sz val="18"/>
      <color rgb="FFFFFFFF"/>
      <name val="Calibri"/>
      <charset val="1"/>
    </font>
    <font>
      <sz val="10"/>
      <color rgb="FF2B2B2B"/>
      <name val="Calibri"/>
      <charset val="1"/>
    </font>
    <font>
      <b/>
      <i/>
      <sz val="9"/>
      <color rgb="FF8598A9"/>
      <name val="Calibri"/>
      <charset val="1"/>
    </font>
    <font>
      <b/>
      <sz val="10"/>
      <color rgb="FF2B2B2B"/>
      <name val="Calibri"/>
      <charset val="1"/>
    </font>
  </fonts>
  <fills count="12">
    <fill>
      <patternFill patternType="none"/>
    </fill>
    <fill>
      <patternFill patternType="gray125"/>
    </fill>
    <fill>
      <patternFill patternType="solid">
        <fgColor rgb="FF13202E"/>
        <bgColor rgb="FF2B2B2B"/>
      </patternFill>
    </fill>
    <fill>
      <patternFill patternType="solid">
        <fgColor rgb="FFB4894C"/>
        <bgColor rgb="FFC2871B"/>
      </patternFill>
    </fill>
    <fill>
      <patternFill patternType="solid">
        <fgColor rgb="FFFFFFFF"/>
        <bgColor rgb="FFF6F8FA"/>
      </patternFill>
    </fill>
    <fill>
      <patternFill patternType="solid">
        <fgColor rgb="FF3C5A76"/>
        <bgColor rgb="FF1F4E79"/>
      </patternFill>
    </fill>
    <fill>
      <patternFill patternType="solid">
        <fgColor rgb="FFF6F8FA"/>
        <bgColor rgb="FFFFFFFF"/>
      </patternFill>
    </fill>
    <fill>
      <patternFill patternType="solid">
        <fgColor rgb="FF22374B"/>
        <bgColor rgb="FF2B2B2B"/>
      </patternFill>
    </fill>
    <fill>
      <patternFill patternType="solid">
        <fgColor rgb="FF1F4E79"/>
        <bgColor rgb="FF3C5A76"/>
      </patternFill>
    </fill>
    <fill>
      <patternFill patternType="solid">
        <fgColor rgb="FF3F7D5A"/>
        <bgColor rgb="FF5E7C97"/>
      </patternFill>
    </fill>
    <fill>
      <patternFill patternType="solid">
        <fgColor rgb="FFC2871B"/>
        <bgColor rgb="FFB4894C"/>
      </patternFill>
    </fill>
    <fill>
      <patternFill patternType="solid">
        <fgColor rgb="FFB0473B"/>
        <bgColor rgb="FF993366"/>
      </patternFill>
    </fill>
  </fills>
  <borders count="9">
    <border>
      <left/>
      <right/>
      <top/>
      <bottom/>
      <diagonal/>
    </border>
    <border>
      <left/>
      <right/>
      <top/>
      <bottom style="medium">
        <color rgb="FFB4894C"/>
      </bottom>
      <diagonal/>
    </border>
    <border>
      <left style="thin">
        <color rgb="FFDCE3EA"/>
      </left>
      <right/>
      <top style="thin">
        <color rgb="FFDCE3EA"/>
      </top>
      <bottom/>
      <diagonal/>
    </border>
    <border>
      <left/>
      <right/>
      <top style="thin">
        <color rgb="FFDCE3EA"/>
      </top>
      <bottom/>
      <diagonal/>
    </border>
    <border>
      <left/>
      <right style="thin">
        <color rgb="FFDCE3EA"/>
      </right>
      <top style="thin">
        <color rgb="FFDCE3EA"/>
      </top>
      <bottom/>
      <diagonal/>
    </border>
    <border>
      <left style="thin">
        <color rgb="FFDCE3EA"/>
      </left>
      <right style="thin">
        <color rgb="FFDCE3EA"/>
      </right>
      <top/>
      <bottom/>
      <diagonal/>
    </border>
    <border>
      <left style="thin">
        <color rgb="FFDCE3EA"/>
      </left>
      <right style="thin">
        <color rgb="FFDCE3EA"/>
      </right>
      <top/>
      <bottom style="thin">
        <color rgb="FFDCE3EA"/>
      </bottom>
      <diagonal/>
    </border>
    <border>
      <left/>
      <right/>
      <top/>
      <bottom style="thin">
        <color rgb="FFDCE3EA"/>
      </bottom>
      <diagonal/>
    </border>
    <border>
      <left/>
      <right/>
      <top/>
      <bottom style="medium">
        <color rgb="FF22374B"/>
      </bottom>
      <diagonal/>
    </border>
  </borders>
  <cellStyleXfs count="1">
    <xf numFmtId="0" fontId="0" fillId="0" borderId="0"/>
  </cellStyleXfs>
  <cellXfs count="99">
    <xf numFmtId="0" fontId="0" fillId="0" borderId="0" xfId="0"/>
    <xf numFmtId="0" fontId="11" fillId="6" borderId="7" xfId="0" applyFont="1" applyFill="1" applyBorder="1" applyAlignment="1">
      <alignment horizontal="left" vertical="center" indent="1"/>
    </xf>
    <xf numFmtId="9" fontId="3" fillId="4" borderId="7" xfId="0" applyNumberFormat="1" applyFont="1" applyFill="1" applyBorder="1" applyAlignment="1">
      <alignment horizontal="center" vertical="center"/>
    </xf>
    <xf numFmtId="0" fontId="10" fillId="4" borderId="7" xfId="0" applyFont="1" applyFill="1" applyBorder="1" applyAlignment="1">
      <alignment horizontal="center" vertical="center"/>
    </xf>
    <xf numFmtId="0" fontId="11" fillId="4" borderId="7" xfId="0" applyFont="1" applyFill="1" applyBorder="1" applyAlignment="1">
      <alignment horizontal="left" vertical="center" indent="1"/>
    </xf>
    <xf numFmtId="0" fontId="9" fillId="5" borderId="1" xfId="0" applyFont="1" applyFill="1" applyBorder="1" applyAlignment="1">
      <alignment horizontal="center" vertical="center" wrapText="1"/>
    </xf>
    <xf numFmtId="0" fontId="9" fillId="5" borderId="1" xfId="0" applyFont="1" applyFill="1" applyBorder="1" applyAlignment="1">
      <alignment horizontal="left" vertical="center" indent="1"/>
    </xf>
    <xf numFmtId="164" fontId="5" fillId="4" borderId="5" xfId="0" applyNumberFormat="1" applyFont="1" applyFill="1" applyBorder="1" applyAlignment="1">
      <alignment horizontal="left" vertical="center" indent="1"/>
    </xf>
    <xf numFmtId="0" fontId="6" fillId="4" borderId="6" xfId="0" applyFont="1" applyFill="1" applyBorder="1" applyAlignment="1">
      <alignment horizontal="left" vertical="center" indent="1"/>
    </xf>
    <xf numFmtId="9" fontId="5" fillId="4" borderId="5" xfId="0" applyNumberFormat="1" applyFont="1" applyFill="1" applyBorder="1" applyAlignment="1">
      <alignment horizontal="left" vertical="center" indent="1"/>
    </xf>
    <xf numFmtId="3" fontId="5" fillId="4" borderId="5" xfId="0" applyNumberFormat="1" applyFont="1" applyFill="1" applyBorder="1" applyAlignment="1">
      <alignment horizontal="left" vertical="center" indent="1"/>
    </xf>
    <xf numFmtId="0" fontId="4" fillId="4" borderId="5" xfId="0" applyFont="1" applyFill="1" applyBorder="1" applyAlignment="1">
      <alignment horizontal="left" vertical="center" indent="1"/>
    </xf>
    <xf numFmtId="0" fontId="3" fillId="2" borderId="1" xfId="0" applyFont="1" applyFill="1" applyBorder="1" applyAlignment="1">
      <alignment horizontal="left" vertical="center" indent="1"/>
    </xf>
    <xf numFmtId="0" fontId="2" fillId="2" borderId="0" xfId="0" applyFont="1" applyFill="1" applyAlignment="1">
      <alignment horizontal="left" vertical="center" indent="1"/>
    </xf>
    <xf numFmtId="0" fontId="1" fillId="2" borderId="0" xfId="0" applyFont="1" applyFill="1" applyAlignment="1">
      <alignment horizontal="left" vertical="center" indent="1"/>
    </xf>
    <xf numFmtId="0" fontId="0" fillId="3" borderId="2" xfId="0" applyFill="1" applyBorder="1"/>
    <xf numFmtId="0" fontId="0" fillId="3" borderId="3" xfId="0" applyFill="1" applyBorder="1"/>
    <xf numFmtId="0" fontId="0" fillId="3" borderId="4" xfId="0" applyFill="1" applyBorder="1"/>
    <xf numFmtId="0" fontId="7" fillId="0" borderId="1" xfId="0" applyFont="1" applyBorder="1" applyAlignment="1">
      <alignment horizontal="left"/>
    </xf>
    <xf numFmtId="0" fontId="0" fillId="0" borderId="1" xfId="0" applyBorder="1"/>
    <xf numFmtId="0" fontId="8" fillId="0" borderId="0" xfId="0" applyFont="1" applyAlignment="1">
      <alignment horizontal="left" vertical="center"/>
    </xf>
    <xf numFmtId="0" fontId="9" fillId="5" borderId="1" xfId="0" applyFont="1" applyFill="1" applyBorder="1" applyAlignment="1">
      <alignment horizontal="left" vertical="center" indent="1"/>
    </xf>
    <xf numFmtId="0" fontId="9" fillId="5" borderId="1" xfId="0" applyFont="1" applyFill="1" applyBorder="1" applyAlignment="1">
      <alignment horizontal="center" vertical="center" wrapText="1"/>
    </xf>
    <xf numFmtId="0" fontId="10" fillId="4" borderId="7" xfId="0" applyFont="1" applyFill="1" applyBorder="1" applyAlignment="1">
      <alignment horizontal="left" vertical="center" indent="1"/>
    </xf>
    <xf numFmtId="0" fontId="11" fillId="4" borderId="7" xfId="0" applyFont="1" applyFill="1" applyBorder="1" applyAlignment="1">
      <alignment horizontal="left" vertical="center" indent="1"/>
    </xf>
    <xf numFmtId="165" fontId="10" fillId="4" borderId="7" xfId="0" applyNumberFormat="1" applyFont="1" applyFill="1" applyBorder="1" applyAlignment="1">
      <alignment horizontal="center" vertical="center"/>
    </xf>
    <xf numFmtId="0" fontId="10" fillId="6" borderId="7" xfId="0" applyFont="1" applyFill="1" applyBorder="1" applyAlignment="1">
      <alignment horizontal="left" vertical="center" indent="1"/>
    </xf>
    <xf numFmtId="0" fontId="11" fillId="6" borderId="7" xfId="0" applyFont="1" applyFill="1" applyBorder="1" applyAlignment="1">
      <alignment horizontal="left" vertical="center" indent="1"/>
    </xf>
    <xf numFmtId="165" fontId="10" fillId="6" borderId="7" xfId="0" applyNumberFormat="1" applyFont="1" applyFill="1" applyBorder="1" applyAlignment="1">
      <alignment horizontal="center" vertical="center"/>
    </xf>
    <xf numFmtId="0" fontId="9" fillId="7" borderId="1" xfId="0" applyFont="1" applyFill="1" applyBorder="1" applyAlignment="1">
      <alignment horizontal="center" vertical="center" wrapText="1"/>
    </xf>
    <xf numFmtId="0" fontId="14" fillId="4" borderId="7" xfId="0" applyFont="1" applyFill="1" applyBorder="1" applyAlignment="1">
      <alignment horizontal="left" vertical="center" indent="1"/>
    </xf>
    <xf numFmtId="0" fontId="11" fillId="4" borderId="7" xfId="0" applyFont="1" applyFill="1" applyBorder="1" applyAlignment="1">
      <alignment horizontal="center" vertical="center"/>
    </xf>
    <xf numFmtId="166" fontId="11" fillId="4" borderId="7" xfId="0" applyNumberFormat="1" applyFont="1" applyFill="1" applyBorder="1" applyAlignment="1">
      <alignment horizontal="center" vertical="center"/>
    </xf>
    <xf numFmtId="164" fontId="11" fillId="4" borderId="7" xfId="0" applyNumberFormat="1" applyFont="1" applyFill="1" applyBorder="1" applyAlignment="1">
      <alignment horizontal="right" vertical="center"/>
    </xf>
    <xf numFmtId="167" fontId="11" fillId="4" borderId="7" xfId="0" applyNumberFormat="1" applyFont="1" applyFill="1" applyBorder="1" applyAlignment="1">
      <alignment horizontal="right" vertical="center"/>
    </xf>
    <xf numFmtId="0" fontId="14" fillId="6" borderId="7" xfId="0" applyFont="1" applyFill="1" applyBorder="1" applyAlignment="1">
      <alignment horizontal="left" vertical="center" indent="1"/>
    </xf>
    <xf numFmtId="0" fontId="11" fillId="6" borderId="7" xfId="0" applyFont="1" applyFill="1" applyBorder="1" applyAlignment="1">
      <alignment horizontal="center" vertical="center"/>
    </xf>
    <xf numFmtId="166" fontId="11" fillId="6" borderId="7" xfId="0" applyNumberFormat="1" applyFont="1" applyFill="1" applyBorder="1" applyAlignment="1">
      <alignment horizontal="center" vertical="center"/>
    </xf>
    <xf numFmtId="164" fontId="11" fillId="6" borderId="7" xfId="0" applyNumberFormat="1" applyFont="1" applyFill="1" applyBorder="1" applyAlignment="1">
      <alignment horizontal="right" vertical="center"/>
    </xf>
    <xf numFmtId="167" fontId="11" fillId="6" borderId="7" xfId="0" applyNumberFormat="1" applyFont="1" applyFill="1" applyBorder="1" applyAlignment="1">
      <alignment horizontal="right" vertical="center"/>
    </xf>
    <xf numFmtId="0" fontId="14" fillId="4" borderId="7" xfId="0" applyFont="1" applyFill="1" applyBorder="1" applyAlignment="1">
      <alignment horizontal="center" vertical="center"/>
    </xf>
    <xf numFmtId="0" fontId="15" fillId="4" borderId="7" xfId="0" applyFont="1" applyFill="1" applyBorder="1"/>
    <xf numFmtId="0" fontId="15" fillId="4" borderId="7" xfId="0" applyFont="1" applyFill="1" applyBorder="1" applyAlignment="1">
      <alignment horizontal="center" vertical="center"/>
    </xf>
    <xf numFmtId="166" fontId="15" fillId="4" borderId="7" xfId="0" applyNumberFormat="1" applyFont="1" applyFill="1" applyBorder="1" applyAlignment="1">
      <alignment horizontal="center" vertical="center"/>
    </xf>
    <xf numFmtId="164" fontId="15" fillId="4" borderId="7" xfId="0" applyNumberFormat="1" applyFont="1" applyFill="1" applyBorder="1" applyAlignment="1">
      <alignment horizontal="right" vertical="center"/>
    </xf>
    <xf numFmtId="167" fontId="15" fillId="4" borderId="7" xfId="0" applyNumberFormat="1" applyFont="1" applyFill="1" applyBorder="1" applyAlignment="1">
      <alignment horizontal="right" vertical="center"/>
    </xf>
    <xf numFmtId="0" fontId="14" fillId="6" borderId="7" xfId="0" applyFont="1" applyFill="1" applyBorder="1" applyAlignment="1">
      <alignment horizontal="center" vertical="center"/>
    </xf>
    <xf numFmtId="0" fontId="15" fillId="6" borderId="7" xfId="0" applyFont="1" applyFill="1" applyBorder="1"/>
    <xf numFmtId="0" fontId="15" fillId="6" borderId="7" xfId="0" applyFont="1" applyFill="1" applyBorder="1" applyAlignment="1">
      <alignment horizontal="center" vertical="center"/>
    </xf>
    <xf numFmtId="166" fontId="15" fillId="6" borderId="7" xfId="0" applyNumberFormat="1" applyFont="1" applyFill="1" applyBorder="1" applyAlignment="1">
      <alignment horizontal="center" vertical="center"/>
    </xf>
    <xf numFmtId="164" fontId="15" fillId="6" borderId="7" xfId="0" applyNumberFormat="1" applyFont="1" applyFill="1" applyBorder="1" applyAlignment="1">
      <alignment horizontal="right" vertical="center"/>
    </xf>
    <xf numFmtId="167" fontId="15" fillId="6" borderId="7" xfId="0" applyNumberFormat="1" applyFont="1" applyFill="1" applyBorder="1" applyAlignment="1">
      <alignment horizontal="right" vertical="center"/>
    </xf>
    <xf numFmtId="0" fontId="15" fillId="4" borderId="7" xfId="0" applyFont="1" applyFill="1" applyBorder="1" applyAlignment="1">
      <alignment horizontal="left" vertical="center" indent="1"/>
    </xf>
    <xf numFmtId="168" fontId="15" fillId="4" borderId="7" xfId="0" applyNumberFormat="1" applyFont="1" applyFill="1" applyBorder="1" applyAlignment="1">
      <alignment horizontal="right" vertical="center"/>
    </xf>
    <xf numFmtId="9" fontId="15" fillId="4" borderId="7" xfId="0" applyNumberFormat="1" applyFont="1" applyFill="1" applyBorder="1" applyAlignment="1">
      <alignment horizontal="center" vertical="center"/>
    </xf>
    <xf numFmtId="168" fontId="16" fillId="4" borderId="7" xfId="0" applyNumberFormat="1" applyFont="1" applyFill="1" applyBorder="1" applyAlignment="1">
      <alignment horizontal="right" vertical="center"/>
    </xf>
    <xf numFmtId="0" fontId="15" fillId="6" borderId="7" xfId="0" applyFont="1" applyFill="1" applyBorder="1" applyAlignment="1">
      <alignment horizontal="left" vertical="center" indent="1"/>
    </xf>
    <xf numFmtId="168" fontId="15" fillId="6" borderId="7" xfId="0" applyNumberFormat="1" applyFont="1" applyFill="1" applyBorder="1" applyAlignment="1">
      <alignment horizontal="right" vertical="center"/>
    </xf>
    <xf numFmtId="9" fontId="15" fillId="6" borderId="7" xfId="0" applyNumberFormat="1" applyFont="1" applyFill="1" applyBorder="1" applyAlignment="1">
      <alignment horizontal="center" vertical="center"/>
    </xf>
    <xf numFmtId="168" fontId="16" fillId="6" borderId="7" xfId="0" applyNumberFormat="1" applyFont="1" applyFill="1" applyBorder="1" applyAlignment="1">
      <alignment horizontal="right" vertical="center"/>
    </xf>
    <xf numFmtId="0" fontId="0" fillId="0" borderId="8" xfId="0" applyBorder="1"/>
    <xf numFmtId="0" fontId="17" fillId="0" borderId="8" xfId="0" applyFont="1" applyBorder="1" applyAlignment="1">
      <alignment horizontal="right" vertical="center"/>
    </xf>
    <xf numFmtId="168" fontId="17" fillId="0" borderId="8" xfId="0" applyNumberFormat="1" applyFont="1" applyBorder="1" applyAlignment="1">
      <alignment horizontal="right" vertical="center"/>
    </xf>
    <xf numFmtId="165" fontId="16" fillId="4" borderId="7" xfId="0" applyNumberFormat="1" applyFont="1" applyFill="1" applyBorder="1" applyAlignment="1">
      <alignment horizontal="center" vertical="center"/>
    </xf>
    <xf numFmtId="0" fontId="18" fillId="4" borderId="7" xfId="0" applyFont="1" applyFill="1" applyBorder="1" applyAlignment="1">
      <alignment horizontal="center" vertical="center"/>
    </xf>
    <xf numFmtId="0" fontId="19" fillId="0" borderId="0" xfId="0" applyFont="1"/>
    <xf numFmtId="165" fontId="16" fillId="6" borderId="7" xfId="0" applyNumberFormat="1" applyFont="1" applyFill="1" applyBorder="1" applyAlignment="1">
      <alignment horizontal="center" vertical="center"/>
    </xf>
    <xf numFmtId="0" fontId="18" fillId="6" borderId="7" xfId="0" applyFont="1" applyFill="1" applyBorder="1" applyAlignment="1">
      <alignment horizontal="center" vertical="center"/>
    </xf>
    <xf numFmtId="169" fontId="3" fillId="4" borderId="7" xfId="0" applyNumberFormat="1" applyFont="1" applyFill="1" applyBorder="1" applyAlignment="1">
      <alignment horizontal="center" vertical="center"/>
    </xf>
    <xf numFmtId="169" fontId="3" fillId="6" borderId="7" xfId="0" applyNumberFormat="1" applyFont="1" applyFill="1" applyBorder="1" applyAlignment="1">
      <alignment horizontal="center" vertical="center"/>
    </xf>
    <xf numFmtId="0" fontId="17" fillId="0" borderId="8" xfId="0" applyFont="1" applyBorder="1"/>
    <xf numFmtId="164" fontId="17" fillId="0" borderId="8" xfId="0" applyNumberFormat="1" applyFont="1" applyBorder="1" applyAlignment="1">
      <alignment horizontal="right" vertical="center"/>
    </xf>
    <xf numFmtId="164" fontId="10" fillId="4" borderId="7" xfId="0" applyNumberFormat="1" applyFont="1" applyFill="1" applyBorder="1" applyAlignment="1">
      <alignment horizontal="right" vertical="center"/>
    </xf>
    <xf numFmtId="164" fontId="10" fillId="6" borderId="7" xfId="0" applyNumberFormat="1" applyFont="1" applyFill="1" applyBorder="1" applyAlignment="1">
      <alignment horizontal="right" vertical="center"/>
    </xf>
    <xf numFmtId="0" fontId="17" fillId="0" borderId="8" xfId="0" applyFont="1" applyBorder="1" applyAlignment="1">
      <alignment horizontal="left" vertical="center" indent="1"/>
    </xf>
    <xf numFmtId="0" fontId="17" fillId="4" borderId="7" xfId="0" applyFont="1" applyFill="1" applyBorder="1" applyAlignment="1">
      <alignment horizontal="left" vertical="center" indent="1"/>
    </xf>
    <xf numFmtId="0" fontId="21" fillId="4" borderId="7" xfId="0" applyFont="1" applyFill="1" applyBorder="1" applyAlignment="1">
      <alignment horizontal="left" vertical="top" wrapText="1"/>
    </xf>
    <xf numFmtId="0" fontId="17" fillId="6" borderId="7" xfId="0" applyFont="1" applyFill="1" applyBorder="1" applyAlignment="1">
      <alignment horizontal="left" vertical="center" indent="1"/>
    </xf>
    <xf numFmtId="0" fontId="21" fillId="6" borderId="7" xfId="0" applyFont="1" applyFill="1" applyBorder="1" applyAlignment="1">
      <alignment horizontal="left" vertical="top" wrapText="1"/>
    </xf>
    <xf numFmtId="0" fontId="9" fillId="8" borderId="7" xfId="0" applyFont="1" applyFill="1" applyBorder="1" applyAlignment="1">
      <alignment horizontal="center" vertical="center" wrapText="1"/>
    </xf>
    <xf numFmtId="0" fontId="21" fillId="4" borderId="7" xfId="0" applyFont="1" applyFill="1" applyBorder="1" applyAlignment="1">
      <alignment horizontal="left" vertical="center" indent="1"/>
    </xf>
    <xf numFmtId="0" fontId="9" fillId="7" borderId="7" xfId="0" applyFont="1" applyFill="1" applyBorder="1" applyAlignment="1">
      <alignment horizontal="center" vertical="center" wrapText="1"/>
    </xf>
    <xf numFmtId="0" fontId="21" fillId="6" borderId="7" xfId="0" applyFont="1" applyFill="1" applyBorder="1" applyAlignment="1">
      <alignment horizontal="left" vertical="center" indent="1"/>
    </xf>
    <xf numFmtId="0" fontId="9" fillId="9" borderId="7" xfId="0" applyFont="1" applyFill="1" applyBorder="1" applyAlignment="1">
      <alignment horizontal="center" vertical="center" wrapText="1"/>
    </xf>
    <xf numFmtId="0" fontId="9" fillId="10" borderId="7" xfId="0" applyFont="1" applyFill="1" applyBorder="1" applyAlignment="1">
      <alignment horizontal="center" vertical="center" wrapText="1"/>
    </xf>
    <xf numFmtId="0" fontId="9" fillId="11" borderId="7" xfId="0" applyFont="1" applyFill="1" applyBorder="1" applyAlignment="1">
      <alignment horizontal="center" vertical="center" wrapText="1"/>
    </xf>
    <xf numFmtId="0" fontId="9" fillId="3" borderId="7" xfId="0" applyFont="1" applyFill="1" applyBorder="1" applyAlignment="1">
      <alignment horizontal="center" vertical="center" wrapText="1"/>
    </xf>
    <xf numFmtId="0" fontId="4" fillId="0" borderId="0" xfId="0" applyFont="1"/>
    <xf numFmtId="0" fontId="23" fillId="0" borderId="0" xfId="0" applyFont="1"/>
    <xf numFmtId="0" fontId="10" fillId="6" borderId="7" xfId="0" applyFont="1" applyFill="1" applyBorder="1" applyAlignment="1">
      <alignment horizontal="center" vertical="center"/>
    </xf>
    <xf numFmtId="9" fontId="3" fillId="6" borderId="7" xfId="0" applyNumberFormat="1" applyFont="1" applyFill="1" applyBorder="1" applyAlignment="1">
      <alignment horizontal="center" vertical="center"/>
    </xf>
    <xf numFmtId="0" fontId="8" fillId="0" borderId="0" xfId="0" applyFont="1" applyAlignment="1">
      <alignment horizontal="left" vertical="top" wrapText="1"/>
    </xf>
    <xf numFmtId="0" fontId="12" fillId="0" borderId="0" xfId="0" applyFont="1" applyAlignment="1">
      <alignment horizontal="left" vertical="center"/>
    </xf>
    <xf numFmtId="0" fontId="13" fillId="0" borderId="0" xfId="0" applyFont="1" applyAlignment="1">
      <alignment horizontal="left" vertical="center"/>
    </xf>
    <xf numFmtId="0" fontId="20" fillId="2" borderId="0" xfId="0" applyFont="1" applyFill="1" applyAlignment="1">
      <alignment horizontal="left" vertical="center" indent="1"/>
    </xf>
    <xf numFmtId="0" fontId="13" fillId="0" borderId="0" xfId="0" applyFont="1"/>
    <xf numFmtId="0" fontId="21" fillId="0" borderId="0" xfId="0" applyFont="1" applyAlignment="1">
      <alignment horizontal="left" vertical="top" wrapText="1"/>
    </xf>
    <xf numFmtId="0" fontId="21" fillId="0" borderId="0" xfId="0" applyFont="1" applyAlignment="1">
      <alignment horizontal="left" vertical="center" indent="1"/>
    </xf>
    <xf numFmtId="0" fontId="22" fillId="0" borderId="0" xfId="0" applyFont="1" applyAlignment="1">
      <alignment horizontal="left" vertical="top" wrapText="1"/>
    </xf>
  </cellXfs>
  <cellStyles count="1">
    <cellStyle name="Standard" xfId="0" builtinId="0"/>
  </cellStyles>
  <dxfs count="13">
    <dxf>
      <font>
        <b/>
        <sz val="9"/>
        <color rgb="FFFFFFFF"/>
        <name val="Calibri"/>
        <charset val="1"/>
      </font>
      <fill>
        <patternFill>
          <bgColor rgb="FF3F7D5A"/>
        </patternFill>
      </fill>
    </dxf>
    <dxf>
      <font>
        <b/>
        <sz val="9"/>
        <color rgb="FFFFFFFF"/>
        <name val="Calibri"/>
        <charset val="1"/>
      </font>
      <fill>
        <patternFill>
          <bgColor rgb="FFC2871B"/>
        </patternFill>
      </fill>
    </dxf>
    <dxf>
      <font>
        <b/>
        <sz val="9"/>
        <color rgb="FFFFFFFF"/>
        <name val="Calibri"/>
        <charset val="1"/>
      </font>
      <fill>
        <patternFill>
          <bgColor rgb="FFB0473B"/>
        </patternFill>
      </fill>
    </dxf>
    <dxf>
      <font>
        <b/>
        <sz val="9"/>
        <color rgb="FFC2871B"/>
        <name val="Calibri"/>
        <charset val="1"/>
      </font>
      <fill>
        <patternFill>
          <bgColor rgb="FFF6EBD4"/>
        </patternFill>
      </fill>
    </dxf>
    <dxf>
      <font>
        <b/>
        <sz val="9"/>
        <color rgb="FFB0473B"/>
        <name val="Calibri"/>
        <charset val="1"/>
      </font>
      <fill>
        <patternFill>
          <bgColor rgb="FFF2E0DD"/>
        </patternFill>
      </fill>
    </dxf>
    <dxf>
      <font>
        <b/>
        <sz val="9"/>
        <color rgb="FFB0473B"/>
        <name val="Calibri"/>
        <charset val="1"/>
      </font>
      <fill>
        <patternFill>
          <bgColor rgb="FFF2E0DD"/>
        </patternFill>
      </fill>
    </dxf>
    <dxf>
      <font>
        <b/>
        <sz val="9"/>
        <color rgb="FF8598A9"/>
        <name val="Calibri"/>
        <charset val="1"/>
      </font>
      <fill>
        <patternFill>
          <bgColor rgb="FFECECEC"/>
        </patternFill>
      </fill>
    </dxf>
    <dxf>
      <font>
        <b/>
        <sz val="9"/>
        <color rgb="FF3C5A76"/>
        <name val="Calibri"/>
        <charset val="1"/>
      </font>
      <fill>
        <patternFill>
          <bgColor rgb="FFEDF1F5"/>
        </patternFill>
      </fill>
    </dxf>
    <dxf>
      <font>
        <b/>
        <sz val="9"/>
        <color rgb="FFC2871B"/>
        <name val="Calibri"/>
        <charset val="1"/>
      </font>
      <fill>
        <patternFill>
          <bgColor rgb="FFF6EBD4"/>
        </patternFill>
      </fill>
    </dxf>
    <dxf>
      <font>
        <b/>
        <sz val="9"/>
        <color rgb="FF3F7D5A"/>
        <name val="Calibri"/>
        <charset val="1"/>
      </font>
      <fill>
        <patternFill>
          <bgColor rgb="FFE4EEE8"/>
        </patternFill>
      </fill>
    </dxf>
    <dxf>
      <font>
        <b/>
        <sz val="9"/>
        <color rgb="FF3F7D5A"/>
        <name val="Calibri"/>
        <charset val="1"/>
      </font>
      <fill>
        <patternFill>
          <bgColor rgb="FFE4EEE8"/>
        </patternFill>
      </fill>
    </dxf>
    <dxf>
      <font>
        <b/>
        <sz val="9"/>
        <color rgb="FFC2871B"/>
        <name val="Calibri"/>
        <charset val="1"/>
      </font>
      <fill>
        <patternFill>
          <bgColor rgb="FFF6EBD4"/>
        </patternFill>
      </fill>
    </dxf>
    <dxf>
      <font>
        <b/>
        <sz val="9"/>
        <color rgb="FFB0473B"/>
        <name val="Calibri"/>
        <charset val="1"/>
      </font>
      <fill>
        <patternFill>
          <bgColor rgb="FFF2E0DD"/>
        </patternFill>
      </fill>
    </dxf>
  </dxfs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9A7238"/>
      <rgbColor rgb="FF800080"/>
      <rgbColor rgb="FF3C5A76"/>
      <rgbColor rgb="FFC9C9C9"/>
      <rgbColor rgb="FF878787"/>
      <rgbColor rgb="FF6E8A78"/>
      <rgbColor rgb="FFB0473B"/>
      <rgbColor rgb="FFF6EBD4"/>
      <rgbColor rgb="FFE4EEE8"/>
      <rgbColor rgb="FF660066"/>
      <rgbColor rgb="FFC7A263"/>
      <rgbColor rgb="FF0066CC"/>
      <rgbColor rgb="FFD9D9D9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EDF1F5"/>
      <rgbColor rgb="FFECECEC"/>
      <rgbColor rgb="FFF6F8FA"/>
      <rgbColor rgb="FFAEB9C4"/>
      <rgbColor rgb="FFF2E0DD"/>
      <rgbColor rgb="FFDCE3EA"/>
      <rgbColor rgb="FFE8DDC7"/>
      <rgbColor rgb="FF4F81BD"/>
      <rgbColor rgb="FF33CCCC"/>
      <rgbColor rgb="FF99CC00"/>
      <rgbColor rgb="FFFFCC00"/>
      <rgbColor rgb="FFC2871B"/>
      <rgbColor rgb="FFB4894C"/>
      <rgbColor rgb="FF5E7C97"/>
      <rgbColor rgb="FF8598A9"/>
      <rgbColor rgb="FF22374B"/>
      <rgbColor rgb="FF3F7D5A"/>
      <rgbColor rgb="FF13202E"/>
      <rgbColor rgb="FF333300"/>
      <rgbColor rgb="FF993300"/>
      <rgbColor rgb="FF993366"/>
      <rgbColor rgb="FF1F4E79"/>
      <rgbColor rgb="FF2B2B2B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c:style val="2"/>
  <c:chart>
    <c:autoTitleDeleted val="1"/>
    <c:plotArea>
      <c:layout/>
      <c:doughnutChart>
        <c:varyColors val="1"/>
        <c:ser>
          <c:idx val="0"/>
          <c:order val="0"/>
          <c:spPr>
            <a:solidFill>
              <a:srgbClr val="4F81BD"/>
            </a:solidFill>
            <a:ln w="0">
              <a:noFill/>
            </a:ln>
          </c:spPr>
          <c:dPt>
            <c:idx val="0"/>
            <c:bubble3D val="0"/>
            <c:spPr>
              <a:solidFill>
                <a:srgbClr val="22374B"/>
              </a:solidFill>
              <a:ln w="15840">
                <a:solidFill>
                  <a:srgbClr val="FFFFFF"/>
                </a:solidFill>
                <a:round/>
              </a:ln>
            </c:spPr>
            <c:extLst>
              <c:ext xmlns:c16="http://schemas.microsoft.com/office/drawing/2014/chart" uri="{C3380CC4-5D6E-409C-BE32-E72D297353CC}">
                <c16:uniqueId val="{00000001-6A2D-4692-8577-9D3493240985}"/>
              </c:ext>
            </c:extLst>
          </c:dPt>
          <c:dPt>
            <c:idx val="1"/>
            <c:bubble3D val="0"/>
            <c:spPr>
              <a:solidFill>
                <a:srgbClr val="3C5A76"/>
              </a:solidFill>
              <a:ln w="15840">
                <a:solidFill>
                  <a:srgbClr val="FFFFFF"/>
                </a:solidFill>
                <a:round/>
              </a:ln>
            </c:spPr>
            <c:extLst>
              <c:ext xmlns:c16="http://schemas.microsoft.com/office/drawing/2014/chart" uri="{C3380CC4-5D6E-409C-BE32-E72D297353CC}">
                <c16:uniqueId val="{00000003-6A2D-4692-8577-9D3493240985}"/>
              </c:ext>
            </c:extLst>
          </c:dPt>
          <c:dPt>
            <c:idx val="2"/>
            <c:bubble3D val="0"/>
            <c:spPr>
              <a:solidFill>
                <a:srgbClr val="5E7C97"/>
              </a:solidFill>
              <a:ln w="15840">
                <a:solidFill>
                  <a:srgbClr val="FFFFFF"/>
                </a:solidFill>
                <a:round/>
              </a:ln>
            </c:spPr>
            <c:extLst>
              <c:ext xmlns:c16="http://schemas.microsoft.com/office/drawing/2014/chart" uri="{C3380CC4-5D6E-409C-BE32-E72D297353CC}">
                <c16:uniqueId val="{00000005-6A2D-4692-8577-9D3493240985}"/>
              </c:ext>
            </c:extLst>
          </c:dPt>
          <c:dPt>
            <c:idx val="3"/>
            <c:bubble3D val="0"/>
            <c:spPr>
              <a:solidFill>
                <a:srgbClr val="8598A9"/>
              </a:solidFill>
              <a:ln w="15840">
                <a:solidFill>
                  <a:srgbClr val="FFFFFF"/>
                </a:solidFill>
                <a:round/>
              </a:ln>
            </c:spPr>
            <c:extLst>
              <c:ext xmlns:c16="http://schemas.microsoft.com/office/drawing/2014/chart" uri="{C3380CC4-5D6E-409C-BE32-E72D297353CC}">
                <c16:uniqueId val="{00000007-6A2D-4692-8577-9D3493240985}"/>
              </c:ext>
            </c:extLst>
          </c:dPt>
          <c:dPt>
            <c:idx val="4"/>
            <c:bubble3D val="0"/>
            <c:spPr>
              <a:solidFill>
                <a:srgbClr val="B4894C"/>
              </a:solidFill>
              <a:ln w="15840">
                <a:solidFill>
                  <a:srgbClr val="FFFFFF"/>
                </a:solidFill>
                <a:round/>
              </a:ln>
            </c:spPr>
            <c:extLst>
              <c:ext xmlns:c16="http://schemas.microsoft.com/office/drawing/2014/chart" uri="{C3380CC4-5D6E-409C-BE32-E72D297353CC}">
                <c16:uniqueId val="{00000009-6A2D-4692-8577-9D3493240985}"/>
              </c:ext>
            </c:extLst>
          </c:dPt>
          <c:dPt>
            <c:idx val="5"/>
            <c:bubble3D val="0"/>
            <c:spPr>
              <a:solidFill>
                <a:srgbClr val="C7A263"/>
              </a:solidFill>
              <a:ln w="15840">
                <a:solidFill>
                  <a:srgbClr val="FFFFFF"/>
                </a:solidFill>
                <a:round/>
              </a:ln>
            </c:spPr>
            <c:extLst>
              <c:ext xmlns:c16="http://schemas.microsoft.com/office/drawing/2014/chart" uri="{C3380CC4-5D6E-409C-BE32-E72D297353CC}">
                <c16:uniqueId val="{0000000B-6A2D-4692-8577-9D3493240985}"/>
              </c:ext>
            </c:extLst>
          </c:dPt>
          <c:dPt>
            <c:idx val="6"/>
            <c:bubble3D val="0"/>
            <c:spPr>
              <a:solidFill>
                <a:srgbClr val="9A7238"/>
              </a:solidFill>
              <a:ln w="15840">
                <a:solidFill>
                  <a:srgbClr val="FFFFFF"/>
                </a:solidFill>
                <a:round/>
              </a:ln>
            </c:spPr>
            <c:extLst>
              <c:ext xmlns:c16="http://schemas.microsoft.com/office/drawing/2014/chart" uri="{C3380CC4-5D6E-409C-BE32-E72D297353CC}">
                <c16:uniqueId val="{0000000D-6A2D-4692-8577-9D3493240985}"/>
              </c:ext>
            </c:extLst>
          </c:dPt>
          <c:dPt>
            <c:idx val="7"/>
            <c:bubble3D val="0"/>
            <c:spPr>
              <a:solidFill>
                <a:srgbClr val="6E8A78"/>
              </a:solidFill>
              <a:ln w="15840">
                <a:solidFill>
                  <a:srgbClr val="FFFFFF"/>
                </a:solidFill>
                <a:round/>
              </a:ln>
            </c:spPr>
            <c:extLst>
              <c:ext xmlns:c16="http://schemas.microsoft.com/office/drawing/2014/chart" uri="{C3380CC4-5D6E-409C-BE32-E72D297353CC}">
                <c16:uniqueId val="{0000000F-6A2D-4692-8577-9D3493240985}"/>
              </c:ext>
            </c:extLst>
          </c:dPt>
          <c:dPt>
            <c:idx val="8"/>
            <c:bubble3D val="0"/>
            <c:spPr>
              <a:solidFill>
                <a:srgbClr val="AEB9C4"/>
              </a:solidFill>
              <a:ln w="15840">
                <a:solidFill>
                  <a:srgbClr val="FFFFFF"/>
                </a:solidFill>
                <a:round/>
              </a:ln>
            </c:spPr>
            <c:extLst>
              <c:ext xmlns:c16="http://schemas.microsoft.com/office/drawing/2014/chart" uri="{C3380CC4-5D6E-409C-BE32-E72D297353CC}">
                <c16:uniqueId val="{00000011-6A2D-4692-8577-9D3493240985}"/>
              </c:ext>
            </c:extLst>
          </c:dPt>
          <c:dLbls>
            <c:dLbl>
              <c:idx val="0"/>
              <c:spPr/>
              <c:txPr>
                <a:bodyPr wrap="square"/>
                <a:lstStyle/>
                <a:p>
                  <a:pPr>
                    <a:defRPr sz="1000" b="0" strike="noStrike" spc="-1">
                      <a:solidFill>
                        <a:srgbClr val="000000"/>
                      </a:solidFill>
                      <a:latin typeface="Calibri"/>
                    </a:defRPr>
                  </a:pPr>
                  <a:endParaRPr lang="de-DE"/>
                </a:p>
              </c:txPr>
              <c:showLegendKey val="0"/>
              <c:showVal val="0"/>
              <c:showCatName val="0"/>
              <c:showSerName val="0"/>
              <c:showPercent val="0"/>
              <c:showBubbleSize val="1"/>
              <c:extLst>
                <c:ext xmlns:c16="http://schemas.microsoft.com/office/drawing/2014/chart" uri="{C3380CC4-5D6E-409C-BE32-E72D297353CC}">
                  <c16:uniqueId val="{00000001-6A2D-4692-8577-9D3493240985}"/>
                </c:ext>
              </c:extLst>
            </c:dLbl>
            <c:dLbl>
              <c:idx val="1"/>
              <c:spPr/>
              <c:txPr>
                <a:bodyPr wrap="square"/>
                <a:lstStyle/>
                <a:p>
                  <a:pPr>
                    <a:defRPr sz="1000" b="0" strike="noStrike" spc="-1">
                      <a:solidFill>
                        <a:srgbClr val="000000"/>
                      </a:solidFill>
                      <a:latin typeface="Calibri"/>
                    </a:defRPr>
                  </a:pPr>
                  <a:endParaRPr lang="de-DE"/>
                </a:p>
              </c:txPr>
              <c:showLegendKey val="0"/>
              <c:showVal val="0"/>
              <c:showCatName val="0"/>
              <c:showSerName val="0"/>
              <c:showPercent val="0"/>
              <c:showBubbleSize val="1"/>
              <c:extLst>
                <c:ext xmlns:c16="http://schemas.microsoft.com/office/drawing/2014/chart" uri="{C3380CC4-5D6E-409C-BE32-E72D297353CC}">
                  <c16:uniqueId val="{00000003-6A2D-4692-8577-9D3493240985}"/>
                </c:ext>
              </c:extLst>
            </c:dLbl>
            <c:dLbl>
              <c:idx val="2"/>
              <c:spPr/>
              <c:txPr>
                <a:bodyPr wrap="square"/>
                <a:lstStyle/>
                <a:p>
                  <a:pPr>
                    <a:defRPr sz="1000" b="0" strike="noStrike" spc="-1">
                      <a:solidFill>
                        <a:srgbClr val="000000"/>
                      </a:solidFill>
                      <a:latin typeface="Calibri"/>
                    </a:defRPr>
                  </a:pPr>
                  <a:endParaRPr lang="de-DE"/>
                </a:p>
              </c:txPr>
              <c:showLegendKey val="0"/>
              <c:showVal val="0"/>
              <c:showCatName val="0"/>
              <c:showSerName val="0"/>
              <c:showPercent val="0"/>
              <c:showBubbleSize val="1"/>
              <c:extLst>
                <c:ext xmlns:c16="http://schemas.microsoft.com/office/drawing/2014/chart" uri="{C3380CC4-5D6E-409C-BE32-E72D297353CC}">
                  <c16:uniqueId val="{00000005-6A2D-4692-8577-9D3493240985}"/>
                </c:ext>
              </c:extLst>
            </c:dLbl>
            <c:dLbl>
              <c:idx val="3"/>
              <c:spPr/>
              <c:txPr>
                <a:bodyPr wrap="square"/>
                <a:lstStyle/>
                <a:p>
                  <a:pPr>
                    <a:defRPr sz="1000" b="0" strike="noStrike" spc="-1">
                      <a:solidFill>
                        <a:srgbClr val="000000"/>
                      </a:solidFill>
                      <a:latin typeface="Calibri"/>
                    </a:defRPr>
                  </a:pPr>
                  <a:endParaRPr lang="de-DE"/>
                </a:p>
              </c:txPr>
              <c:showLegendKey val="0"/>
              <c:showVal val="0"/>
              <c:showCatName val="0"/>
              <c:showSerName val="0"/>
              <c:showPercent val="0"/>
              <c:showBubbleSize val="1"/>
              <c:extLst>
                <c:ext xmlns:c16="http://schemas.microsoft.com/office/drawing/2014/chart" uri="{C3380CC4-5D6E-409C-BE32-E72D297353CC}">
                  <c16:uniqueId val="{00000007-6A2D-4692-8577-9D3493240985}"/>
                </c:ext>
              </c:extLst>
            </c:dLbl>
            <c:dLbl>
              <c:idx val="4"/>
              <c:spPr/>
              <c:txPr>
                <a:bodyPr wrap="square"/>
                <a:lstStyle/>
                <a:p>
                  <a:pPr>
                    <a:defRPr sz="1000" b="0" strike="noStrike" spc="-1">
                      <a:solidFill>
                        <a:srgbClr val="000000"/>
                      </a:solidFill>
                      <a:latin typeface="Calibri"/>
                    </a:defRPr>
                  </a:pPr>
                  <a:endParaRPr lang="de-DE"/>
                </a:p>
              </c:txPr>
              <c:showLegendKey val="0"/>
              <c:showVal val="0"/>
              <c:showCatName val="0"/>
              <c:showSerName val="0"/>
              <c:showPercent val="0"/>
              <c:showBubbleSize val="1"/>
              <c:extLst>
                <c:ext xmlns:c16="http://schemas.microsoft.com/office/drawing/2014/chart" uri="{C3380CC4-5D6E-409C-BE32-E72D297353CC}">
                  <c16:uniqueId val="{00000009-6A2D-4692-8577-9D3493240985}"/>
                </c:ext>
              </c:extLst>
            </c:dLbl>
            <c:dLbl>
              <c:idx val="5"/>
              <c:spPr/>
              <c:txPr>
                <a:bodyPr wrap="square"/>
                <a:lstStyle/>
                <a:p>
                  <a:pPr>
                    <a:defRPr sz="1000" b="0" strike="noStrike" spc="-1">
                      <a:solidFill>
                        <a:srgbClr val="000000"/>
                      </a:solidFill>
                      <a:latin typeface="Calibri"/>
                    </a:defRPr>
                  </a:pPr>
                  <a:endParaRPr lang="de-DE"/>
                </a:p>
              </c:txPr>
              <c:showLegendKey val="0"/>
              <c:showVal val="0"/>
              <c:showCatName val="0"/>
              <c:showSerName val="0"/>
              <c:showPercent val="0"/>
              <c:showBubbleSize val="1"/>
              <c:extLst>
                <c:ext xmlns:c16="http://schemas.microsoft.com/office/drawing/2014/chart" uri="{C3380CC4-5D6E-409C-BE32-E72D297353CC}">
                  <c16:uniqueId val="{0000000B-6A2D-4692-8577-9D3493240985}"/>
                </c:ext>
              </c:extLst>
            </c:dLbl>
            <c:dLbl>
              <c:idx val="6"/>
              <c:spPr/>
              <c:txPr>
                <a:bodyPr wrap="square"/>
                <a:lstStyle/>
                <a:p>
                  <a:pPr>
                    <a:defRPr sz="1000" b="0" strike="noStrike" spc="-1">
                      <a:solidFill>
                        <a:srgbClr val="000000"/>
                      </a:solidFill>
                      <a:latin typeface="Calibri"/>
                    </a:defRPr>
                  </a:pPr>
                  <a:endParaRPr lang="de-DE"/>
                </a:p>
              </c:txPr>
              <c:showLegendKey val="0"/>
              <c:showVal val="0"/>
              <c:showCatName val="0"/>
              <c:showSerName val="0"/>
              <c:showPercent val="0"/>
              <c:showBubbleSize val="1"/>
              <c:extLst>
                <c:ext xmlns:c16="http://schemas.microsoft.com/office/drawing/2014/chart" uri="{C3380CC4-5D6E-409C-BE32-E72D297353CC}">
                  <c16:uniqueId val="{0000000D-6A2D-4692-8577-9D3493240985}"/>
                </c:ext>
              </c:extLst>
            </c:dLbl>
            <c:dLbl>
              <c:idx val="7"/>
              <c:spPr/>
              <c:txPr>
                <a:bodyPr wrap="square"/>
                <a:lstStyle/>
                <a:p>
                  <a:pPr>
                    <a:defRPr sz="1000" b="0" strike="noStrike" spc="-1">
                      <a:solidFill>
                        <a:srgbClr val="000000"/>
                      </a:solidFill>
                      <a:latin typeface="Calibri"/>
                    </a:defRPr>
                  </a:pPr>
                  <a:endParaRPr lang="de-DE"/>
                </a:p>
              </c:txPr>
              <c:showLegendKey val="0"/>
              <c:showVal val="0"/>
              <c:showCatName val="0"/>
              <c:showSerName val="0"/>
              <c:showPercent val="0"/>
              <c:showBubbleSize val="1"/>
              <c:extLst>
                <c:ext xmlns:c16="http://schemas.microsoft.com/office/drawing/2014/chart" uri="{C3380CC4-5D6E-409C-BE32-E72D297353CC}">
                  <c16:uniqueId val="{0000000F-6A2D-4692-8577-9D3493240985}"/>
                </c:ext>
              </c:extLst>
            </c:dLbl>
            <c:dLbl>
              <c:idx val="8"/>
              <c:spPr/>
              <c:txPr>
                <a:bodyPr wrap="square"/>
                <a:lstStyle/>
                <a:p>
                  <a:pPr>
                    <a:defRPr sz="1000" b="0" strike="noStrike" spc="-1">
                      <a:solidFill>
                        <a:srgbClr val="000000"/>
                      </a:solidFill>
                      <a:latin typeface="Calibri"/>
                    </a:defRPr>
                  </a:pPr>
                  <a:endParaRPr lang="de-DE"/>
                </a:p>
              </c:txPr>
              <c:showLegendKey val="0"/>
              <c:showVal val="0"/>
              <c:showCatName val="0"/>
              <c:showSerName val="0"/>
              <c:showPercent val="0"/>
              <c:showBubbleSize val="1"/>
              <c:extLst>
                <c:ext xmlns:c16="http://schemas.microsoft.com/office/drawing/2014/chart" uri="{C3380CC4-5D6E-409C-BE32-E72D297353CC}">
                  <c16:uniqueId val="{00000011-6A2D-4692-8577-9D3493240985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wrap="square"/>
              <a:lstStyle/>
              <a:p>
                <a:pPr>
                  <a:defRPr sz="1000" b="0" strike="noStrike" spc="-1">
                    <a:solidFill>
                      <a:srgbClr val="000000"/>
                    </a:solidFill>
                    <a:latin typeface="Calibri"/>
                  </a:defRPr>
                </a:pPr>
                <a:endParaRPr lang="de-DE"/>
              </a:p>
            </c:txPr>
            <c:showLegendKey val="0"/>
            <c:showVal val="0"/>
            <c:showCatName val="0"/>
            <c:showSerName val="0"/>
            <c:showPercent val="0"/>
            <c:showBubbleSize val="1"/>
            <c:separator>; </c:separator>
            <c:showLeaderLines val="1"/>
            <c:extLst>
              <c:ext xmlns:c15="http://schemas.microsoft.com/office/drawing/2012/chart" uri="{CE6537A1-D6FC-4f65-9D91-7224C49458BB}"/>
            </c:extLst>
          </c:dLbls>
          <c:cat>
            <c:strRef>
              <c:f>Analyse!$B$26:$B$34</c:f>
              <c:strCache>
                <c:ptCount val="9"/>
                <c:pt idx="0">
                  <c:v>Kraftstoff &amp; Ladung</c:v>
                </c:pt>
                <c:pt idx="1">
                  <c:v>Wartung</c:v>
                </c:pt>
                <c:pt idx="2">
                  <c:v>Reparatur</c:v>
                </c:pt>
                <c:pt idx="3">
                  <c:v>Versicherung</c:v>
                </c:pt>
                <c:pt idx="4">
                  <c:v>Kfz-Steuer</c:v>
                </c:pt>
                <c:pt idx="5">
                  <c:v>Leasing/Finanzierung</c:v>
                </c:pt>
                <c:pt idx="6">
                  <c:v>Reifen</c:v>
                </c:pt>
                <c:pt idx="7">
                  <c:v>Maut &amp; Parken</c:v>
                </c:pt>
                <c:pt idx="8">
                  <c:v>Sonstiges</c:v>
                </c:pt>
              </c:strCache>
            </c:strRef>
          </c:cat>
          <c:val>
            <c:numRef>
              <c:f>Analyse!$C$26:$C$34</c:f>
              <c:numCache>
                <c:formatCode>General</c:formatCode>
                <c:ptCount val="9"/>
                <c:pt idx="0">
                  <c:v>1606.6190000000001</c:v>
                </c:pt>
                <c:pt idx="1">
                  <c:v>2488.29</c:v>
                </c:pt>
                <c:pt idx="2">
                  <c:v>3452.1899999999996</c:v>
                </c:pt>
                <c:pt idx="3">
                  <c:v>898</c:v>
                </c:pt>
                <c:pt idx="4">
                  <c:v>174</c:v>
                </c:pt>
                <c:pt idx="5">
                  <c:v>1161.44</c:v>
                </c:pt>
                <c:pt idx="6">
                  <c:v>990.08</c:v>
                </c:pt>
                <c:pt idx="7">
                  <c:v>73.78</c:v>
                </c:pt>
                <c:pt idx="8">
                  <c:v>113.05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2-6A2D-4692-8577-9D349324098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  <c:holeSize val="50"/>
      </c:doughnutChart>
      <c:spPr>
        <a:noFill/>
        <a:ln w="0">
          <a:noFill/>
        </a:ln>
      </c:spPr>
    </c:plotArea>
    <c:legend>
      <c:legendPos val="r"/>
      <c:overlay val="0"/>
      <c:spPr>
        <a:noFill/>
        <a:ln w="0">
          <a:noFill/>
        </a:ln>
      </c:spPr>
      <c:txPr>
        <a:bodyPr/>
        <a:lstStyle/>
        <a:p>
          <a:pPr>
            <a:defRPr sz="1000" b="0" strike="noStrike" spc="-1">
              <a:solidFill>
                <a:srgbClr val="000000"/>
              </a:solidFill>
              <a:latin typeface="Calibri"/>
            </a:defRPr>
          </a:pPr>
          <a:endParaRPr lang="de-DE"/>
        </a:p>
      </c:txPr>
    </c:legend>
    <c:plotVisOnly val="1"/>
    <c:dispBlanksAs val="gap"/>
    <c:showDLblsOverMax val="1"/>
  </c:chart>
  <c:spPr>
    <a:solidFill>
      <a:schemeClr val="bg2"/>
    </a:solidFill>
    <a:ln w="9360">
      <a:solidFill>
        <a:srgbClr val="D9D9D9"/>
      </a:solidFill>
      <a:round/>
    </a:ln>
  </c:spPr>
  <c:printSettings>
    <c:headerFooter/>
    <c:pageMargins b="0.78740157499999996" l="0.7" r="0.7" t="0.78740157499999996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c:style val="2"/>
  <c:chart>
    <c:autoTitleDeleted val="1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3C5A76"/>
            </a:solidFill>
            <a:ln w="0">
              <a:solidFill>
                <a:srgbClr val="3C5A76"/>
              </a:solidFill>
            </a:ln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wrap="none"/>
              <a:lstStyle/>
              <a:p>
                <a:pPr>
                  <a:defRPr sz="1000" b="0" strike="noStrike" spc="-1">
                    <a:latin typeface="Arial"/>
                  </a:defRPr>
                </a:pPr>
                <a:endParaRPr lang="de-DE"/>
              </a:p>
            </c:txPr>
            <c:showLegendKey val="0"/>
            <c:showVal val="0"/>
            <c:showCatName val="0"/>
            <c:showSerName val="0"/>
            <c:showPercent val="0"/>
            <c:showBubbleSize val="1"/>
            <c:separator> </c:separator>
            <c:showLeaderLines val="0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Analyse!$B$8:$B$19</c:f>
              <c:strCache>
                <c:ptCount val="12"/>
                <c:pt idx="0">
                  <c:v>S-NA 100E</c:v>
                </c:pt>
                <c:pt idx="1">
                  <c:v>S-NA 210</c:v>
                </c:pt>
                <c:pt idx="2">
                  <c:v>S-NA 245</c:v>
                </c:pt>
                <c:pt idx="3">
                  <c:v>F-NA 320</c:v>
                </c:pt>
                <c:pt idx="4">
                  <c:v>F-NA 415</c:v>
                </c:pt>
                <c:pt idx="5">
                  <c:v>F-NA 360</c:v>
                </c:pt>
                <c:pt idx="6">
                  <c:v>D-NA 530</c:v>
                </c:pt>
                <c:pt idx="7">
                  <c:v>D-NA 640</c:v>
                </c:pt>
                <c:pt idx="8">
                  <c:v>N-NA 755</c:v>
                </c:pt>
                <c:pt idx="9">
                  <c:v>N-NA 860</c:v>
                </c:pt>
                <c:pt idx="10">
                  <c:v>H-NA 970</c:v>
                </c:pt>
                <c:pt idx="11">
                  <c:v>H-NA 985</c:v>
                </c:pt>
              </c:strCache>
            </c:strRef>
          </c:cat>
          <c:val>
            <c:numRef>
              <c:f>Analyse!$C$8:$C$19</c:f>
              <c:numCache>
                <c:formatCode>General</c:formatCode>
                <c:ptCount val="12"/>
                <c:pt idx="0">
                  <c:v>317.49200000000002</c:v>
                </c:pt>
                <c:pt idx="1">
                  <c:v>1347.4369999999999</c:v>
                </c:pt>
                <c:pt idx="2">
                  <c:v>636.91</c:v>
                </c:pt>
                <c:pt idx="3">
                  <c:v>921.06</c:v>
                </c:pt>
                <c:pt idx="4">
                  <c:v>1002.4559999999999</c:v>
                </c:pt>
                <c:pt idx="5">
                  <c:v>1088.374</c:v>
                </c:pt>
                <c:pt idx="6">
                  <c:v>1481.0739999999998</c:v>
                </c:pt>
                <c:pt idx="7">
                  <c:v>349.26499999999999</c:v>
                </c:pt>
                <c:pt idx="8">
                  <c:v>747.66000000000008</c:v>
                </c:pt>
                <c:pt idx="9">
                  <c:v>1945.098</c:v>
                </c:pt>
                <c:pt idx="10">
                  <c:v>0</c:v>
                </c:pt>
                <c:pt idx="11">
                  <c:v>1120.623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AA30-4455-B3D8-23DFA6B7947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60"/>
        <c:axId val="78020207"/>
        <c:axId val="50077149"/>
      </c:barChart>
      <c:catAx>
        <c:axId val="78020207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ln w="9360">
            <a:solidFill>
              <a:srgbClr val="878787"/>
            </a:solidFill>
            <a:round/>
          </a:ln>
        </c:spPr>
        <c:txPr>
          <a:bodyPr/>
          <a:lstStyle/>
          <a:p>
            <a:pPr>
              <a:defRPr sz="1000" b="0" strike="noStrike" spc="-1">
                <a:solidFill>
                  <a:srgbClr val="000000"/>
                </a:solidFill>
                <a:latin typeface="Calibri"/>
              </a:defRPr>
            </a:pPr>
            <a:endParaRPr lang="de-DE"/>
          </a:p>
        </c:txPr>
        <c:crossAx val="50077149"/>
        <c:crosses val="autoZero"/>
        <c:auto val="1"/>
        <c:lblAlgn val="ctr"/>
        <c:lblOffset val="100"/>
        <c:noMultiLvlLbl val="0"/>
      </c:catAx>
      <c:valAx>
        <c:axId val="50077149"/>
        <c:scaling>
          <c:orientation val="minMax"/>
        </c:scaling>
        <c:delete val="0"/>
        <c:axPos val="l"/>
        <c:numFmt formatCode="#,##0" sourceLinked="0"/>
        <c:majorTickMark val="none"/>
        <c:minorTickMark val="none"/>
        <c:tickLblPos val="nextTo"/>
        <c:spPr>
          <a:ln w="9360">
            <a:solidFill>
              <a:srgbClr val="878787"/>
            </a:solidFill>
            <a:round/>
          </a:ln>
        </c:spPr>
        <c:txPr>
          <a:bodyPr/>
          <a:lstStyle/>
          <a:p>
            <a:pPr>
              <a:defRPr sz="1000" b="0" strike="noStrike" spc="-1">
                <a:solidFill>
                  <a:srgbClr val="000000"/>
                </a:solidFill>
                <a:latin typeface="Calibri"/>
              </a:defRPr>
            </a:pPr>
            <a:endParaRPr lang="de-DE"/>
          </a:p>
        </c:txPr>
        <c:crossAx val="78020207"/>
        <c:crosses val="autoZero"/>
        <c:crossBetween val="between"/>
      </c:valAx>
      <c:spPr>
        <a:noFill/>
        <a:ln w="0">
          <a:noFill/>
        </a:ln>
      </c:spPr>
    </c:plotArea>
    <c:plotVisOnly val="1"/>
    <c:dispBlanksAs val="gap"/>
    <c:showDLblsOverMax val="1"/>
  </c:chart>
  <c:spPr>
    <a:solidFill>
      <a:schemeClr val="bg2"/>
    </a:solidFill>
    <a:ln w="9360">
      <a:solidFill>
        <a:srgbClr val="D9D9D9"/>
      </a:solidFill>
      <a:round/>
    </a:ln>
  </c:spPr>
  <c:printSettings>
    <c:headerFooter/>
    <c:pageMargins b="0.78740157499999996" l="0.7" r="0.7" t="0.78740157499999996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c:style val="2"/>
  <c:chart>
    <c:autoTitleDeleted val="1"/>
    <c:plotArea>
      <c:layout/>
      <c:lineChart>
        <c:grouping val="standard"/>
        <c:varyColors val="0"/>
        <c:ser>
          <c:idx val="0"/>
          <c:order val="0"/>
          <c:spPr>
            <a:ln w="28080">
              <a:solidFill>
                <a:srgbClr val="B4894C"/>
              </a:solidFill>
              <a:round/>
            </a:ln>
          </c:spPr>
          <c:marker>
            <c:symbol val="circle"/>
            <c:size val="6"/>
            <c:spPr>
              <a:solidFill>
                <a:srgbClr val="B4894C"/>
              </a:solidFill>
            </c:spPr>
          </c:marker>
          <c:dLbls>
            <c:spPr>
              <a:noFill/>
              <a:ln>
                <a:noFill/>
              </a:ln>
              <a:effectLst/>
            </c:spPr>
            <c:txPr>
              <a:bodyPr wrap="none"/>
              <a:lstStyle/>
              <a:p>
                <a:pPr>
                  <a:defRPr sz="1000" b="0" strike="noStrike" spc="-1">
                    <a:latin typeface="Arial"/>
                  </a:defRPr>
                </a:pPr>
                <a:endParaRPr lang="de-DE"/>
              </a:p>
            </c:txPr>
            <c:showLegendKey val="0"/>
            <c:showVal val="0"/>
            <c:showCatName val="0"/>
            <c:showSerName val="0"/>
            <c:showPercent val="0"/>
            <c:showBubbleSize val="1"/>
            <c:separator> </c:separator>
            <c:showLeaderLines val="0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Analyse!$B$41:$B$49</c:f>
              <c:strCache>
                <c:ptCount val="9"/>
                <c:pt idx="0">
                  <c:v>Jan</c:v>
                </c:pt>
                <c:pt idx="1">
                  <c:v>Feb</c:v>
                </c:pt>
                <c:pt idx="2">
                  <c:v>Mär</c:v>
                </c:pt>
                <c:pt idx="3">
                  <c:v>Apr</c:v>
                </c:pt>
                <c:pt idx="4">
                  <c:v>Mai</c:v>
                </c:pt>
                <c:pt idx="5">
                  <c:v>Jun</c:v>
                </c:pt>
                <c:pt idx="6">
                  <c:v>Jul</c:v>
                </c:pt>
                <c:pt idx="7">
                  <c:v>Aug</c:v>
                </c:pt>
                <c:pt idx="8">
                  <c:v>Sep</c:v>
                </c:pt>
              </c:strCache>
            </c:strRef>
          </c:cat>
          <c:val>
            <c:numRef>
              <c:f>Analyse!$C$41:$C$49</c:f>
              <c:numCache>
                <c:formatCode>General</c:formatCode>
                <c:ptCount val="9"/>
                <c:pt idx="0">
                  <c:v>2137.0450000000001</c:v>
                </c:pt>
                <c:pt idx="1">
                  <c:v>2391.3270000000002</c:v>
                </c:pt>
                <c:pt idx="2">
                  <c:v>1821.5329999999999</c:v>
                </c:pt>
                <c:pt idx="3">
                  <c:v>1526.634</c:v>
                </c:pt>
                <c:pt idx="4">
                  <c:v>674.73</c:v>
                </c:pt>
                <c:pt idx="5">
                  <c:v>275.00900000000001</c:v>
                </c:pt>
                <c:pt idx="6">
                  <c:v>868.7</c:v>
                </c:pt>
                <c:pt idx="7">
                  <c:v>982.93999999999994</c:v>
                </c:pt>
                <c:pt idx="8">
                  <c:v>279.53100000000001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16FE-4C2B-8E69-971CDA2F5E7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hiLowLines>
          <c:spPr>
            <a:ln w="0">
              <a:noFill/>
            </a:ln>
          </c:spPr>
        </c:hiLowLines>
        <c:marker val="1"/>
        <c:smooth val="0"/>
        <c:axId val="66570315"/>
        <c:axId val="20258841"/>
      </c:lineChart>
      <c:catAx>
        <c:axId val="66570315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ln w="9360">
            <a:solidFill>
              <a:srgbClr val="878787"/>
            </a:solidFill>
            <a:round/>
          </a:ln>
        </c:spPr>
        <c:txPr>
          <a:bodyPr/>
          <a:lstStyle/>
          <a:p>
            <a:pPr>
              <a:defRPr sz="1000" b="0" strike="noStrike" spc="-1">
                <a:solidFill>
                  <a:srgbClr val="000000"/>
                </a:solidFill>
                <a:latin typeface="Calibri"/>
              </a:defRPr>
            </a:pPr>
            <a:endParaRPr lang="de-DE"/>
          </a:p>
        </c:txPr>
        <c:crossAx val="20258841"/>
        <c:crosses val="autoZero"/>
        <c:auto val="1"/>
        <c:lblAlgn val="ctr"/>
        <c:lblOffset val="100"/>
        <c:noMultiLvlLbl val="0"/>
      </c:catAx>
      <c:valAx>
        <c:axId val="20258841"/>
        <c:scaling>
          <c:orientation val="minMax"/>
        </c:scaling>
        <c:delete val="0"/>
        <c:axPos val="l"/>
        <c:numFmt formatCode="#,##0" sourceLinked="0"/>
        <c:majorTickMark val="none"/>
        <c:minorTickMark val="none"/>
        <c:tickLblPos val="nextTo"/>
        <c:spPr>
          <a:ln w="9360">
            <a:solidFill>
              <a:srgbClr val="878787"/>
            </a:solidFill>
            <a:round/>
          </a:ln>
        </c:spPr>
        <c:txPr>
          <a:bodyPr/>
          <a:lstStyle/>
          <a:p>
            <a:pPr>
              <a:defRPr sz="1000" b="0" strike="noStrike" spc="-1">
                <a:solidFill>
                  <a:srgbClr val="000000"/>
                </a:solidFill>
                <a:latin typeface="Calibri"/>
              </a:defRPr>
            </a:pPr>
            <a:endParaRPr lang="de-DE"/>
          </a:p>
        </c:txPr>
        <c:crossAx val="66570315"/>
        <c:crosses val="autoZero"/>
        <c:crossBetween val="between"/>
      </c:valAx>
      <c:spPr>
        <a:noFill/>
        <a:ln w="0">
          <a:noFill/>
        </a:ln>
      </c:spPr>
    </c:plotArea>
    <c:plotVisOnly val="1"/>
    <c:dispBlanksAs val="gap"/>
    <c:showDLblsOverMax val="1"/>
  </c:chart>
  <c:spPr>
    <a:solidFill>
      <a:schemeClr val="bg2"/>
    </a:solidFill>
    <a:ln w="9360">
      <a:solidFill>
        <a:srgbClr val="D9D9D9"/>
      </a:solidFill>
      <a:round/>
    </a:ln>
  </c:spPr>
  <c:printSettings>
    <c:headerFooter/>
    <c:pageMargins b="0.78740157499999996" l="0.7" r="0.7" t="0.78740157499999996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chart" Target="../charts/chart3.xml"/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17</xdr:row>
      <xdr:rowOff>9465</xdr:rowOff>
    </xdr:from>
    <xdr:to>
      <xdr:col>7</xdr:col>
      <xdr:colOff>0</xdr:colOff>
      <xdr:row>30</xdr:row>
      <xdr:rowOff>66900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9</xdr:col>
      <xdr:colOff>0</xdr:colOff>
      <xdr:row>17</xdr:row>
      <xdr:rowOff>9465</xdr:rowOff>
    </xdr:from>
    <xdr:to>
      <xdr:col>16</xdr:col>
      <xdr:colOff>0</xdr:colOff>
      <xdr:row>30</xdr:row>
      <xdr:rowOff>85725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 editAs="oneCell">
    <xdr:from>
      <xdr:col>0</xdr:col>
      <xdr:colOff>133349</xdr:colOff>
      <xdr:row>32</xdr:row>
      <xdr:rowOff>4230</xdr:rowOff>
    </xdr:from>
    <xdr:to>
      <xdr:col>15</xdr:col>
      <xdr:colOff>866774</xdr:colOff>
      <xdr:row>46</xdr:row>
      <xdr:rowOff>95250</xdr:rowOff>
    </xdr:to>
    <xdr:graphicFrame macro="">
      <xdr:nvGraphicFramePr>
        <xdr:cNvPr id="4" name="Chart 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13202E"/>
    <pageSetUpPr fitToPage="1"/>
  </sheetPr>
  <dimension ref="B2:P58"/>
  <sheetViews>
    <sheetView showGridLines="0" tabSelected="1" zoomScaleNormal="100" workbookViewId="0">
      <selection activeCell="N61" sqref="N61"/>
    </sheetView>
  </sheetViews>
  <sheetFormatPr baseColWidth="10" defaultColWidth="8.7109375" defaultRowHeight="15" x14ac:dyDescent="0.25"/>
  <cols>
    <col min="1" max="1" width="2" customWidth="1"/>
    <col min="2" max="4" width="13" customWidth="1"/>
    <col min="5" max="5" width="2.42578125" customWidth="1"/>
    <col min="6" max="8" width="13" customWidth="1"/>
    <col min="9" max="9" width="2.42578125" customWidth="1"/>
    <col min="10" max="12" width="13" customWidth="1"/>
    <col min="13" max="13" width="2.42578125" customWidth="1"/>
    <col min="14" max="16" width="13" customWidth="1"/>
    <col min="17" max="17" width="2" customWidth="1"/>
  </cols>
  <sheetData>
    <row r="2" spans="2:16" ht="18" customHeight="1" x14ac:dyDescent="0.25">
      <c r="B2" s="14" t="s">
        <v>0</v>
      </c>
      <c r="C2" s="14"/>
      <c r="D2" s="14"/>
      <c r="E2" s="14"/>
      <c r="F2" s="14"/>
      <c r="G2" s="14"/>
      <c r="H2" s="14"/>
      <c r="I2" s="14"/>
      <c r="J2" s="14"/>
      <c r="K2" s="14"/>
      <c r="L2" s="14"/>
      <c r="M2" s="14"/>
      <c r="N2" s="14"/>
      <c r="O2" s="14"/>
      <c r="P2" s="14"/>
    </row>
    <row r="3" spans="2:16" ht="21.75" customHeight="1" x14ac:dyDescent="0.25">
      <c r="B3" s="13" t="s">
        <v>1</v>
      </c>
      <c r="C3" s="13"/>
      <c r="D3" s="13"/>
      <c r="E3" s="13"/>
      <c r="F3" s="13"/>
      <c r="G3" s="13"/>
      <c r="H3" s="13"/>
      <c r="I3" s="13"/>
      <c r="J3" s="13"/>
      <c r="K3" s="13"/>
      <c r="L3" s="13"/>
      <c r="M3" s="13"/>
      <c r="N3" s="13"/>
      <c r="O3" s="13"/>
      <c r="P3" s="13"/>
    </row>
    <row r="4" spans="2:16" ht="13.5" customHeight="1" x14ac:dyDescent="0.25">
      <c r="B4" s="13"/>
      <c r="C4" s="13"/>
      <c r="D4" s="13"/>
      <c r="E4" s="13"/>
      <c r="F4" s="13"/>
      <c r="G4" s="13"/>
      <c r="H4" s="13"/>
      <c r="I4" s="13"/>
      <c r="J4" s="13"/>
      <c r="K4" s="13"/>
      <c r="L4" s="13"/>
      <c r="M4" s="13"/>
      <c r="N4" s="13"/>
      <c r="O4" s="13"/>
      <c r="P4" s="13"/>
    </row>
    <row r="5" spans="2:16" ht="15.75" customHeight="1" x14ac:dyDescent="0.25">
      <c r="B5" s="12" t="str">
        <f ca="1">" Geschäftsjahr 2026     |     Stand: "&amp;TEXT(TODAY(),"DD.MM.YYYY")&amp;"     |     Alle Kennzahlen automatisch berechnet"</f>
        <v xml:space="preserve"> Geschäftsjahr 2026     |     Stand: 30.09.YYYY     |     Alle Kennzahlen automatisch berechnet</v>
      </c>
      <c r="C5" s="12"/>
      <c r="D5" s="12"/>
      <c r="E5" s="12"/>
      <c r="F5" s="12"/>
      <c r="G5" s="12"/>
      <c r="H5" s="12"/>
      <c r="I5" s="12"/>
      <c r="J5" s="12"/>
      <c r="K5" s="12"/>
      <c r="L5" s="12"/>
      <c r="M5" s="12"/>
      <c r="N5" s="12"/>
      <c r="O5" s="12"/>
      <c r="P5" s="12"/>
    </row>
    <row r="7" spans="2:16" ht="3.75" customHeight="1" x14ac:dyDescent="0.25">
      <c r="B7" s="15"/>
      <c r="C7" s="16"/>
      <c r="D7" s="17"/>
      <c r="F7" s="15"/>
      <c r="G7" s="16"/>
      <c r="H7" s="17"/>
      <c r="J7" s="15"/>
      <c r="K7" s="16"/>
      <c r="L7" s="17"/>
      <c r="N7" s="15"/>
      <c r="O7" s="16"/>
      <c r="P7" s="17"/>
    </row>
    <row r="8" spans="2:16" ht="15.75" customHeight="1" x14ac:dyDescent="0.25">
      <c r="B8" s="11" t="s">
        <v>2</v>
      </c>
      <c r="C8" s="11"/>
      <c r="D8" s="11"/>
      <c r="F8" s="11" t="s">
        <v>3</v>
      </c>
      <c r="G8" s="11"/>
      <c r="H8" s="11"/>
      <c r="J8" s="11" t="s">
        <v>4</v>
      </c>
      <c r="K8" s="11"/>
      <c r="L8" s="11"/>
      <c r="N8" s="11" t="s">
        <v>5</v>
      </c>
      <c r="O8" s="11"/>
      <c r="P8" s="11"/>
    </row>
    <row r="9" spans="2:16" ht="30" customHeight="1" x14ac:dyDescent="0.25">
      <c r="B9" s="10">
        <f>SUMPRODUCT(--(Flotte!$B$6:$B$23&lt;&gt;""))</f>
        <v>12</v>
      </c>
      <c r="C9" s="10"/>
      <c r="D9" s="10"/>
      <c r="F9" s="10">
        <f>COUNTIF(Flotte!$R$6:$R$23,"Aktiv")</f>
        <v>9</v>
      </c>
      <c r="G9" s="10"/>
      <c r="H9" s="10"/>
      <c r="J9" s="9">
        <f>IFERROR(COUNTIF(Flotte!$G$6:$G$23,"Elektro")/MAX(1,SUMPRODUCT(--(Flotte!$B$6:$B$23&lt;&gt;""))),0)</f>
        <v>0.33333333333333331</v>
      </c>
      <c r="K9" s="9"/>
      <c r="L9" s="9"/>
      <c r="N9" s="10">
        <f>COUNTIF(Flotte!$R$6:$R$23,"In Wartung")</f>
        <v>1</v>
      </c>
      <c r="O9" s="10"/>
      <c r="P9" s="10"/>
    </row>
    <row r="10" spans="2:16" ht="15.75" customHeight="1" x14ac:dyDescent="0.25">
      <c r="B10" s="8" t="s">
        <v>6</v>
      </c>
      <c r="C10" s="8"/>
      <c r="D10" s="8"/>
      <c r="F10" s="8" t="s">
        <v>7</v>
      </c>
      <c r="G10" s="8"/>
      <c r="H10" s="8"/>
      <c r="J10" s="8" t="s">
        <v>8</v>
      </c>
      <c r="K10" s="8"/>
      <c r="L10" s="8"/>
      <c r="N10" s="8" t="s">
        <v>9</v>
      </c>
      <c r="O10" s="8"/>
      <c r="P10" s="8"/>
    </row>
    <row r="12" spans="2:16" ht="3.75" customHeight="1" x14ac:dyDescent="0.25">
      <c r="B12" s="15"/>
      <c r="C12" s="16"/>
      <c r="D12" s="17"/>
      <c r="F12" s="15"/>
      <c r="G12" s="16"/>
      <c r="H12" s="17"/>
      <c r="J12" s="15"/>
      <c r="K12" s="16"/>
      <c r="L12" s="17"/>
      <c r="N12" s="15"/>
      <c r="O12" s="16"/>
      <c r="P12" s="17"/>
    </row>
    <row r="13" spans="2:16" ht="15.75" customHeight="1" x14ac:dyDescent="0.25">
      <c r="B13" s="11" t="s">
        <v>10</v>
      </c>
      <c r="C13" s="11"/>
      <c r="D13" s="11"/>
      <c r="F13" s="11" t="s">
        <v>11</v>
      </c>
      <c r="G13" s="11"/>
      <c r="H13" s="11"/>
      <c r="J13" s="11" t="s">
        <v>12</v>
      </c>
      <c r="K13" s="11"/>
      <c r="L13" s="11"/>
      <c r="N13" s="11" t="s">
        <v>13</v>
      </c>
      <c r="O13" s="11"/>
      <c r="P13" s="11"/>
    </row>
    <row r="14" spans="2:16" ht="30" customHeight="1" x14ac:dyDescent="0.25">
      <c r="B14" s="7">
        <f>Analyse!$C$20</f>
        <v>10957.448999999999</v>
      </c>
      <c r="C14" s="7"/>
      <c r="D14" s="7"/>
      <c r="F14" s="7">
        <f>IFERROR(Analyse!$C$20/MAX(1,COUNTIF(Flotte!$R$6:$R$23,"Aktiv")),0)</f>
        <v>1217.4943333333331</v>
      </c>
      <c r="G14" s="7"/>
      <c r="H14" s="7"/>
      <c r="J14" s="7">
        <f>Analyse!$F$67</f>
        <v>197830.86425101213</v>
      </c>
      <c r="K14" s="7"/>
      <c r="L14" s="7"/>
      <c r="N14" s="10">
        <f ca="1">COUNTIF(Termine!$F$6:$F$27,"Überfällig")+COUNTIF(Termine!$F$6:$F$27,"Bald fällig")</f>
        <v>9</v>
      </c>
      <c r="O14" s="10"/>
      <c r="P14" s="10"/>
    </row>
    <row r="15" spans="2:16" ht="15.75" customHeight="1" x14ac:dyDescent="0.25">
      <c r="B15" s="8" t="s">
        <v>14</v>
      </c>
      <c r="C15" s="8"/>
      <c r="D15" s="8"/>
      <c r="F15" s="8" t="s">
        <v>15</v>
      </c>
      <c r="G15" s="8"/>
      <c r="H15" s="8"/>
      <c r="J15" s="8" t="s">
        <v>16</v>
      </c>
      <c r="K15" s="8"/>
      <c r="L15" s="8"/>
      <c r="N15" s="8" t="s">
        <v>17</v>
      </c>
      <c r="O15" s="8"/>
      <c r="P15" s="8"/>
    </row>
    <row r="17" spans="2:16" ht="17.25" x14ac:dyDescent="0.3">
      <c r="B17" s="18" t="s">
        <v>18</v>
      </c>
      <c r="C17" s="19"/>
      <c r="D17" s="19"/>
      <c r="E17" s="19"/>
      <c r="F17" s="19"/>
      <c r="G17" s="19"/>
      <c r="J17" s="18" t="s">
        <v>19</v>
      </c>
      <c r="K17" s="19"/>
      <c r="L17" s="19"/>
      <c r="M17" s="19"/>
      <c r="N17" s="19"/>
      <c r="O17" s="19"/>
      <c r="P17" s="19"/>
    </row>
    <row r="32" spans="2:16" ht="17.25" x14ac:dyDescent="0.3">
      <c r="B32" s="18" t="s">
        <v>20</v>
      </c>
      <c r="C32" s="19"/>
      <c r="D32" s="19"/>
      <c r="E32" s="19"/>
      <c r="F32" s="19"/>
      <c r="G32" s="19"/>
      <c r="H32" s="19"/>
      <c r="I32" s="19"/>
      <c r="J32" s="19"/>
      <c r="K32" s="19"/>
      <c r="L32" s="19"/>
      <c r="M32" s="19"/>
      <c r="N32" s="19"/>
      <c r="O32" s="19"/>
      <c r="P32" s="19"/>
    </row>
    <row r="48" spans="2:16" ht="17.25" x14ac:dyDescent="0.3">
      <c r="B48" s="18" t="s">
        <v>21</v>
      </c>
      <c r="C48" s="19"/>
      <c r="D48" s="19"/>
      <c r="E48" s="19"/>
      <c r="F48" s="19"/>
      <c r="G48" s="19"/>
      <c r="J48" s="18" t="s">
        <v>22</v>
      </c>
      <c r="K48" s="19"/>
      <c r="L48" s="19"/>
      <c r="M48" s="19"/>
      <c r="N48" s="19"/>
      <c r="O48" s="19"/>
      <c r="P48" s="19"/>
    </row>
    <row r="49" spans="2:16" x14ac:dyDescent="0.25">
      <c r="B49" s="20" t="s">
        <v>23</v>
      </c>
    </row>
    <row r="50" spans="2:16" ht="19.5" customHeight="1" x14ac:dyDescent="0.25">
      <c r="B50" s="21" t="s">
        <v>24</v>
      </c>
      <c r="C50" s="6" t="s">
        <v>25</v>
      </c>
      <c r="D50" s="6"/>
      <c r="E50" s="6"/>
      <c r="F50" s="6"/>
      <c r="G50" s="22" t="s">
        <v>26</v>
      </c>
      <c r="J50" s="21" t="s">
        <v>27</v>
      </c>
      <c r="K50" s="5" t="s">
        <v>28</v>
      </c>
      <c r="L50" s="5"/>
      <c r="M50" s="5"/>
      <c r="N50" s="5" t="s">
        <v>29</v>
      </c>
      <c r="O50" s="5"/>
      <c r="P50" s="5"/>
    </row>
    <row r="51" spans="2:16" x14ac:dyDescent="0.25">
      <c r="B51" s="23" t="str">
        <f ca="1">IFERROR(INDEX(Termine!$B$6:$B$27,MATCH(SMALL(Termine!$J$6:$J$27,1),Termine!$J$6:$J$27,0)),"")</f>
        <v>F-NA 360</v>
      </c>
      <c r="C51" s="4" t="str">
        <f ca="1">IFERROR(INDEX(Termine!$C$6:$C$27,MATCH(SMALL(Termine!$J$6:$J$27,1),Termine!$J$6:$J$27,0)),"")</f>
        <v>HU/AU (Hauptuntersuchung)</v>
      </c>
      <c r="D51" s="4"/>
      <c r="E51" s="4"/>
      <c r="F51" s="4"/>
      <c r="G51" s="25">
        <f ca="1">IFERROR(INDEX(Termine!$D$6:$D$27,MATCH(SMALL(Termine!$J$6:$J$27,1),Termine!$J$6:$J$27,0))-TODAY(),"")</f>
        <v>-14</v>
      </c>
      <c r="J51" s="24" t="s">
        <v>30</v>
      </c>
      <c r="K51" s="3">
        <f>COUNTIF(Flotte!$R$6:$R$23,J51)</f>
        <v>9</v>
      </c>
      <c r="L51" s="3"/>
      <c r="M51" s="3"/>
      <c r="N51" s="2">
        <f>IFERROR(K51/MAX(1,SUMPRODUCT(--(Flotte!$B$6:$B$23&lt;&gt;""))),0)</f>
        <v>0.75</v>
      </c>
      <c r="O51" s="2"/>
      <c r="P51" s="2"/>
    </row>
    <row r="52" spans="2:16" x14ac:dyDescent="0.25">
      <c r="B52" s="26" t="str">
        <f ca="1">IFERROR(INDEX(Termine!$B$6:$B$27,MATCH(SMALL(Termine!$J$6:$J$27,2),Termine!$J$6:$J$27,0)),"")</f>
        <v>S-NA 210</v>
      </c>
      <c r="C52" s="1" t="str">
        <f ca="1">IFERROR(INDEX(Termine!$C$6:$C$27,MATCH(SMALL(Termine!$J$6:$J$27,2),Termine!$J$6:$J$27,0)),"")</f>
        <v>HU/AU (Hauptuntersuchung)</v>
      </c>
      <c r="D52" s="1"/>
      <c r="E52" s="1"/>
      <c r="F52" s="1"/>
      <c r="G52" s="28">
        <f ca="1">IFERROR(INDEX(Termine!$D$6:$D$27,MATCH(SMALL(Termine!$J$6:$J$27,2),Termine!$J$6:$J$27,0))-TODAY(),"")</f>
        <v>-6</v>
      </c>
      <c r="J52" s="27" t="s">
        <v>31</v>
      </c>
      <c r="K52" s="89">
        <f>COUNTIF(Flotte!$R$6:$R$23,J52)</f>
        <v>1</v>
      </c>
      <c r="L52" s="89"/>
      <c r="M52" s="89"/>
      <c r="N52" s="90">
        <f>IFERROR(K52/MAX(1,SUMPRODUCT(--(Flotte!$B$6:$B$23&lt;&gt;""))),0)</f>
        <v>8.3333333333333329E-2</v>
      </c>
      <c r="O52" s="90"/>
      <c r="P52" s="90"/>
    </row>
    <row r="53" spans="2:16" x14ac:dyDescent="0.25">
      <c r="B53" s="23" t="str">
        <f ca="1">IFERROR(INDEX(Termine!$B$6:$B$27,MATCH(SMALL(Termine!$J$6:$J$27,3),Termine!$J$6:$J$27,0)),"")</f>
        <v>F-NA 415</v>
      </c>
      <c r="C53" s="4" t="str">
        <f ca="1">IFERROR(INDEX(Termine!$C$6:$C$27,MATCH(SMALL(Termine!$J$6:$J$27,3),Termine!$J$6:$J$27,0)),"")</f>
        <v>Sicherheitsprüfung (UVV)</v>
      </c>
      <c r="D53" s="4"/>
      <c r="E53" s="4"/>
      <c r="F53" s="4"/>
      <c r="G53" s="25">
        <f ca="1">IFERROR(INDEX(Termine!$D$6:$D$27,MATCH(SMALL(Termine!$J$6:$J$27,3),Termine!$J$6:$J$27,0))-TODAY(),"")</f>
        <v>-2</v>
      </c>
      <c r="J53" s="24" t="s">
        <v>32</v>
      </c>
      <c r="K53" s="3">
        <f>COUNTIF(Flotte!$R$6:$R$23,J53)</f>
        <v>1</v>
      </c>
      <c r="L53" s="3"/>
      <c r="M53" s="3"/>
      <c r="N53" s="2">
        <f>IFERROR(K53/MAX(1,SUMPRODUCT(--(Flotte!$B$6:$B$23&lt;&gt;""))),0)</f>
        <v>8.3333333333333329E-2</v>
      </c>
      <c r="O53" s="2"/>
      <c r="P53" s="2"/>
    </row>
    <row r="54" spans="2:16" x14ac:dyDescent="0.25">
      <c r="B54" s="26" t="str">
        <f ca="1">IFERROR(INDEX(Termine!$B$6:$B$27,MATCH(SMALL(Termine!$J$6:$J$27,4),Termine!$J$6:$J$27,0)),"")</f>
        <v>F-NA 320</v>
      </c>
      <c r="C54" s="1" t="str">
        <f ca="1">IFERROR(INDEX(Termine!$C$6:$C$27,MATCH(SMALL(Termine!$J$6:$J$27,4),Termine!$J$6:$J$27,0)),"")</f>
        <v>Versicherung</v>
      </c>
      <c r="D54" s="1"/>
      <c r="E54" s="1"/>
      <c r="F54" s="1"/>
      <c r="G54" s="28">
        <f ca="1">IFERROR(INDEX(Termine!$D$6:$D$27,MATCH(SMALL(Termine!$J$6:$J$27,4),Termine!$J$6:$J$27,0))-TODAY(),"")</f>
        <v>4</v>
      </c>
      <c r="J54" s="27" t="s">
        <v>33</v>
      </c>
      <c r="K54" s="89">
        <f>COUNTIF(Flotte!$R$6:$R$23,J54)</f>
        <v>1</v>
      </c>
      <c r="L54" s="89"/>
      <c r="M54" s="89"/>
      <c r="N54" s="90">
        <f>IFERROR(K54/MAX(1,SUMPRODUCT(--(Flotte!$B$6:$B$23&lt;&gt;""))),0)</f>
        <v>8.3333333333333329E-2</v>
      </c>
      <c r="O54" s="90"/>
      <c r="P54" s="90"/>
    </row>
    <row r="55" spans="2:16" x14ac:dyDescent="0.25">
      <c r="B55" s="23" t="str">
        <f ca="1">IFERROR(INDEX(Termine!$B$6:$B$27,MATCH(SMALL(Termine!$J$6:$J$27,5),Termine!$J$6:$J$27,0)),"")</f>
        <v>N-NA 860</v>
      </c>
      <c r="C55" s="4" t="str">
        <f ca="1">IFERROR(INDEX(Termine!$C$6:$C$27,MATCH(SMALL(Termine!$J$6:$J$27,5),Termine!$J$6:$J$27,0)),"")</f>
        <v>HU/AU (Hauptuntersuchung)</v>
      </c>
      <c r="D55" s="4"/>
      <c r="E55" s="4"/>
      <c r="F55" s="4"/>
      <c r="G55" s="25">
        <f ca="1">IFERROR(INDEX(Termine!$D$6:$D$27,MATCH(SMALL(Termine!$J$6:$J$27,5),Termine!$J$6:$J$27,0))-TODAY(),"")</f>
        <v>8</v>
      </c>
      <c r="J55" s="24" t="s">
        <v>34</v>
      </c>
      <c r="K55" s="3">
        <f>COUNTIF(Flotte!$R$6:$R$23,J55)</f>
        <v>0</v>
      </c>
      <c r="L55" s="3"/>
      <c r="M55" s="3"/>
      <c r="N55" s="2">
        <f>IFERROR(K55/MAX(1,SUMPRODUCT(--(Flotte!$B$6:$B$23&lt;&gt;""))),0)</f>
        <v>0</v>
      </c>
      <c r="O55" s="2"/>
      <c r="P55" s="2"/>
    </row>
    <row r="56" spans="2:16" x14ac:dyDescent="0.25">
      <c r="B56" s="26" t="str">
        <f ca="1">IFERROR(INDEX(Termine!$B$6:$B$27,MATCH(SMALL(Termine!$J$6:$J$27,6),Termine!$J$6:$J$27,0)),"")</f>
        <v>S-NA 210</v>
      </c>
      <c r="C56" s="1" t="str">
        <f ca="1">IFERROR(INDEX(Termine!$C$6:$C$27,MATCH(SMALL(Termine!$J$6:$J$27,6),Termine!$J$6:$J$27,0)),"")</f>
        <v>Vertragsende</v>
      </c>
      <c r="D56" s="1"/>
      <c r="E56" s="1"/>
      <c r="F56" s="1"/>
      <c r="G56" s="28">
        <f ca="1">IFERROR(INDEX(Termine!$D$6:$D$27,MATCH(SMALL(Termine!$J$6:$J$27,6),Termine!$J$6:$J$27,0))-TODAY(),"")</f>
        <v>17</v>
      </c>
    </row>
    <row r="58" spans="2:16" ht="27.75" customHeight="1" x14ac:dyDescent="0.25">
      <c r="B58" s="91" t="s">
        <v>35</v>
      </c>
      <c r="C58" s="91"/>
      <c r="D58" s="91"/>
      <c r="E58" s="91"/>
      <c r="F58" s="91"/>
      <c r="G58" s="91"/>
      <c r="H58" s="91"/>
      <c r="I58" s="91"/>
      <c r="J58" s="91"/>
      <c r="K58" s="91"/>
      <c r="L58" s="91"/>
      <c r="M58" s="91"/>
      <c r="N58" s="91"/>
      <c r="O58" s="91"/>
      <c r="P58" s="91"/>
    </row>
  </sheetData>
  <mergeCells count="47">
    <mergeCell ref="C55:F55"/>
    <mergeCell ref="K55:M55"/>
    <mergeCell ref="N55:P55"/>
    <mergeCell ref="C56:F56"/>
    <mergeCell ref="B58:P58"/>
    <mergeCell ref="C53:F53"/>
    <mergeCell ref="K53:M53"/>
    <mergeCell ref="N53:P53"/>
    <mergeCell ref="C54:F54"/>
    <mergeCell ref="K54:M54"/>
    <mergeCell ref="N54:P54"/>
    <mergeCell ref="C51:F51"/>
    <mergeCell ref="K51:M51"/>
    <mergeCell ref="N51:P51"/>
    <mergeCell ref="C52:F52"/>
    <mergeCell ref="K52:M52"/>
    <mergeCell ref="N52:P52"/>
    <mergeCell ref="B15:D15"/>
    <mergeCell ref="F15:H15"/>
    <mergeCell ref="J15:L15"/>
    <mergeCell ref="N15:P15"/>
    <mergeCell ref="C50:F50"/>
    <mergeCell ref="K50:M50"/>
    <mergeCell ref="N50:P50"/>
    <mergeCell ref="B13:D13"/>
    <mergeCell ref="F13:H13"/>
    <mergeCell ref="J13:L13"/>
    <mergeCell ref="N13:P13"/>
    <mergeCell ref="B14:D14"/>
    <mergeCell ref="F14:H14"/>
    <mergeCell ref="J14:L14"/>
    <mergeCell ref="N14:P14"/>
    <mergeCell ref="B9:D9"/>
    <mergeCell ref="F9:H9"/>
    <mergeCell ref="J9:L9"/>
    <mergeCell ref="N9:P9"/>
    <mergeCell ref="B10:D10"/>
    <mergeCell ref="F10:H10"/>
    <mergeCell ref="J10:L10"/>
    <mergeCell ref="N10:P10"/>
    <mergeCell ref="B2:P2"/>
    <mergeCell ref="B3:P4"/>
    <mergeCell ref="B5:P5"/>
    <mergeCell ref="B8:D8"/>
    <mergeCell ref="F8:H8"/>
    <mergeCell ref="J8:L8"/>
    <mergeCell ref="N8:P8"/>
  </mergeCells>
  <conditionalFormatting sqref="G51:G56">
    <cfRule type="cellIs" dxfId="12" priority="2" operator="lessThan">
      <formula>0</formula>
    </cfRule>
    <cfRule type="cellIs" dxfId="11" priority="3" operator="between">
      <formula>0</formula>
      <formula>30</formula>
    </cfRule>
    <cfRule type="cellIs" dxfId="10" priority="4" operator="greaterThan">
      <formula>30</formula>
    </cfRule>
  </conditionalFormatting>
  <conditionalFormatting sqref="K51:K55">
    <cfRule type="colorScale" priority="5">
      <colorScale>
        <cfvo type="min"/>
        <cfvo type="max"/>
        <color rgb="FFEDF1F5"/>
        <color rgb="FF3C5A76"/>
      </colorScale>
    </cfRule>
  </conditionalFormatting>
  <printOptions horizontalCentered="1"/>
  <pageMargins left="0.75" right="0.75" top="1" bottom="1" header="0.511811023622047" footer="0.511811023622047"/>
  <pageSetup fitToHeight="0" orientation="landscape" horizontalDpi="300" verticalDpi="300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22374B"/>
    <pageSetUpPr fitToPage="1"/>
  </sheetPr>
  <dimension ref="B2:R23"/>
  <sheetViews>
    <sheetView showGridLines="0" zoomScaleNormal="100" workbookViewId="0">
      <pane xSplit="1" ySplit="5" topLeftCell="B6" activePane="bottomRight" state="frozen"/>
      <selection pane="topRight" activeCell="B1" sqref="B1"/>
      <selection pane="bottomLeft" activeCell="A6" sqref="A6"/>
      <selection pane="bottomRight"/>
    </sheetView>
  </sheetViews>
  <sheetFormatPr baseColWidth="10" defaultColWidth="8.7109375" defaultRowHeight="15" x14ac:dyDescent="0.25"/>
  <cols>
    <col min="1" max="1" width="2" customWidth="1"/>
    <col min="2" max="2" width="12" customWidth="1"/>
    <col min="3" max="3" width="19" customWidth="1"/>
    <col min="4" max="4" width="13" customWidth="1"/>
    <col min="5" max="5" width="18" customWidth="1"/>
    <col min="6" max="7" width="15" customWidth="1"/>
    <col min="8" max="8" width="13" customWidth="1"/>
    <col min="9" max="9" width="14" customWidth="1"/>
    <col min="10" max="10" width="13" customWidth="1"/>
    <col min="11" max="11" width="19" customWidth="1"/>
    <col min="12" max="12" width="15" customWidth="1"/>
    <col min="13" max="13" width="12" customWidth="1"/>
    <col min="14" max="14" width="13" customWidth="1"/>
    <col min="15" max="15" width="12" customWidth="1"/>
    <col min="16" max="17" width="11" customWidth="1"/>
    <col min="18" max="18" width="13" customWidth="1"/>
  </cols>
  <sheetData>
    <row r="2" spans="2:18" ht="25.5" customHeight="1" x14ac:dyDescent="0.25">
      <c r="B2" s="92" t="s">
        <v>36</v>
      </c>
      <c r="C2" s="92"/>
      <c r="D2" s="92"/>
      <c r="E2" s="92"/>
      <c r="F2" s="92"/>
      <c r="G2" s="92"/>
      <c r="H2" s="92"/>
      <c r="I2" s="92"/>
      <c r="J2" s="92"/>
      <c r="K2" s="92"/>
      <c r="L2" s="92"/>
      <c r="M2" s="92"/>
      <c r="N2" s="92"/>
      <c r="O2" s="92"/>
      <c r="P2" s="92"/>
      <c r="Q2" s="92"/>
      <c r="R2" s="92"/>
    </row>
    <row r="3" spans="2:18" x14ac:dyDescent="0.25">
      <c r="B3" s="93" t="s">
        <v>37</v>
      </c>
      <c r="C3" s="93"/>
      <c r="D3" s="93"/>
      <c r="E3" s="93"/>
      <c r="F3" s="93"/>
      <c r="G3" s="93"/>
      <c r="H3" s="93"/>
      <c r="I3" s="93"/>
      <c r="J3" s="93"/>
      <c r="K3" s="93"/>
      <c r="L3" s="93"/>
      <c r="M3" s="93"/>
      <c r="N3" s="93"/>
      <c r="O3" s="93"/>
      <c r="P3" s="93"/>
      <c r="Q3" s="93"/>
      <c r="R3" s="93"/>
    </row>
    <row r="5" spans="2:18" ht="25.5" customHeight="1" x14ac:dyDescent="0.25">
      <c r="B5" s="29" t="s">
        <v>24</v>
      </c>
      <c r="C5" s="29" t="s">
        <v>38</v>
      </c>
      <c r="D5" s="29" t="s">
        <v>39</v>
      </c>
      <c r="E5" s="29" t="s">
        <v>40</v>
      </c>
      <c r="F5" s="29" t="s">
        <v>41</v>
      </c>
      <c r="G5" s="29" t="s">
        <v>42</v>
      </c>
      <c r="H5" s="29" t="s">
        <v>43</v>
      </c>
      <c r="I5" s="29" t="s">
        <v>44</v>
      </c>
      <c r="J5" s="29" t="s">
        <v>45</v>
      </c>
      <c r="K5" s="29" t="s">
        <v>46</v>
      </c>
      <c r="L5" s="29" t="s">
        <v>47</v>
      </c>
      <c r="M5" s="29" t="s">
        <v>48</v>
      </c>
      <c r="N5" s="29" t="s">
        <v>49</v>
      </c>
      <c r="O5" s="29" t="s">
        <v>50</v>
      </c>
      <c r="P5" s="29" t="s">
        <v>51</v>
      </c>
      <c r="Q5" s="29" t="s">
        <v>52</v>
      </c>
      <c r="R5" s="29" t="s">
        <v>27</v>
      </c>
    </row>
    <row r="6" spans="2:18" ht="18.75" customHeight="1" x14ac:dyDescent="0.25">
      <c r="B6" s="30" t="s">
        <v>53</v>
      </c>
      <c r="C6" s="24" t="s">
        <v>54</v>
      </c>
      <c r="D6" s="24" t="s">
        <v>55</v>
      </c>
      <c r="E6" s="24" t="s">
        <v>56</v>
      </c>
      <c r="F6" s="31" t="s">
        <v>57</v>
      </c>
      <c r="G6" s="31" t="s">
        <v>58</v>
      </c>
      <c r="H6" s="32">
        <v>45391</v>
      </c>
      <c r="I6" s="31" t="s">
        <v>59</v>
      </c>
      <c r="J6" s="32">
        <v>46851</v>
      </c>
      <c r="K6" s="24" t="s">
        <v>60</v>
      </c>
      <c r="L6" s="24" t="s">
        <v>61</v>
      </c>
      <c r="M6" s="24" t="s">
        <v>62</v>
      </c>
      <c r="N6" s="33">
        <v>54800</v>
      </c>
      <c r="O6" s="33">
        <v>24100</v>
      </c>
      <c r="P6" s="33">
        <v>529</v>
      </c>
      <c r="Q6" s="34">
        <v>21400</v>
      </c>
      <c r="R6" s="31" t="s">
        <v>30</v>
      </c>
    </row>
    <row r="7" spans="2:18" ht="18.75" customHeight="1" x14ac:dyDescent="0.25">
      <c r="B7" s="35" t="s">
        <v>63</v>
      </c>
      <c r="C7" s="27" t="s">
        <v>64</v>
      </c>
      <c r="D7" s="27" t="s">
        <v>65</v>
      </c>
      <c r="E7" s="27" t="s">
        <v>66</v>
      </c>
      <c r="F7" s="36" t="s">
        <v>67</v>
      </c>
      <c r="G7" s="36" t="s">
        <v>68</v>
      </c>
      <c r="H7" s="37">
        <v>44977</v>
      </c>
      <c r="I7" s="36" t="s">
        <v>59</v>
      </c>
      <c r="J7" s="37">
        <v>46072</v>
      </c>
      <c r="K7" s="27" t="s">
        <v>69</v>
      </c>
      <c r="L7" s="27" t="s">
        <v>70</v>
      </c>
      <c r="M7" s="27" t="s">
        <v>62</v>
      </c>
      <c r="N7" s="38">
        <v>38900</v>
      </c>
      <c r="O7" s="38">
        <v>15600</v>
      </c>
      <c r="P7" s="38">
        <v>362</v>
      </c>
      <c r="Q7" s="39">
        <v>68700</v>
      </c>
      <c r="R7" s="36" t="s">
        <v>30</v>
      </c>
    </row>
    <row r="8" spans="2:18" ht="18.75" customHeight="1" x14ac:dyDescent="0.25">
      <c r="B8" s="30" t="s">
        <v>71</v>
      </c>
      <c r="C8" s="24" t="s">
        <v>72</v>
      </c>
      <c r="D8" s="24" t="s">
        <v>73</v>
      </c>
      <c r="E8" s="24" t="s">
        <v>74</v>
      </c>
      <c r="F8" s="31" t="s">
        <v>67</v>
      </c>
      <c r="G8" s="31" t="s">
        <v>75</v>
      </c>
      <c r="H8" s="32">
        <v>45141</v>
      </c>
      <c r="I8" s="31" t="s">
        <v>76</v>
      </c>
      <c r="J8" s="32">
        <v>46601</v>
      </c>
      <c r="K8" s="24" t="s">
        <v>77</v>
      </c>
      <c r="L8" s="24" t="s">
        <v>78</v>
      </c>
      <c r="M8" s="24" t="s">
        <v>62</v>
      </c>
      <c r="N8" s="33">
        <v>33400</v>
      </c>
      <c r="O8" s="33">
        <v>14800</v>
      </c>
      <c r="P8" s="33">
        <v>0</v>
      </c>
      <c r="Q8" s="34">
        <v>41200</v>
      </c>
      <c r="R8" s="31" t="s">
        <v>30</v>
      </c>
    </row>
    <row r="9" spans="2:18" ht="18.75" customHeight="1" x14ac:dyDescent="0.25">
      <c r="B9" s="35" t="s">
        <v>79</v>
      </c>
      <c r="C9" s="27" t="s">
        <v>80</v>
      </c>
      <c r="D9" s="27" t="s">
        <v>81</v>
      </c>
      <c r="E9" s="27" t="s">
        <v>82</v>
      </c>
      <c r="F9" s="36" t="s">
        <v>67</v>
      </c>
      <c r="G9" s="36" t="s">
        <v>83</v>
      </c>
      <c r="H9" s="37">
        <v>45306</v>
      </c>
      <c r="I9" s="36" t="s">
        <v>59</v>
      </c>
      <c r="J9" s="37">
        <v>46766</v>
      </c>
      <c r="K9" s="27" t="s">
        <v>84</v>
      </c>
      <c r="L9" s="27" t="s">
        <v>85</v>
      </c>
      <c r="M9" s="27" t="s">
        <v>86</v>
      </c>
      <c r="N9" s="38">
        <v>61200</v>
      </c>
      <c r="O9" s="38">
        <v>28900</v>
      </c>
      <c r="P9" s="38">
        <v>614</v>
      </c>
      <c r="Q9" s="39">
        <v>27350</v>
      </c>
      <c r="R9" s="36" t="s">
        <v>30</v>
      </c>
    </row>
    <row r="10" spans="2:18" ht="18.75" customHeight="1" x14ac:dyDescent="0.25">
      <c r="B10" s="30" t="s">
        <v>87</v>
      </c>
      <c r="C10" s="24" t="s">
        <v>88</v>
      </c>
      <c r="D10" s="24" t="s">
        <v>89</v>
      </c>
      <c r="E10" s="24" t="s">
        <v>90</v>
      </c>
      <c r="F10" s="31" t="s">
        <v>91</v>
      </c>
      <c r="G10" s="31" t="s">
        <v>58</v>
      </c>
      <c r="H10" s="32">
        <v>45236</v>
      </c>
      <c r="I10" s="31" t="s">
        <v>59</v>
      </c>
      <c r="J10" s="32">
        <v>46696</v>
      </c>
      <c r="K10" s="24" t="s">
        <v>92</v>
      </c>
      <c r="L10" s="24" t="s">
        <v>93</v>
      </c>
      <c r="M10" s="24" t="s">
        <v>86</v>
      </c>
      <c r="N10" s="33">
        <v>49700</v>
      </c>
      <c r="O10" s="33">
        <v>21300</v>
      </c>
      <c r="P10" s="33">
        <v>468</v>
      </c>
      <c r="Q10" s="34">
        <v>33900</v>
      </c>
      <c r="R10" s="31" t="s">
        <v>31</v>
      </c>
    </row>
    <row r="11" spans="2:18" ht="18.75" customHeight="1" x14ac:dyDescent="0.25">
      <c r="B11" s="35" t="s">
        <v>94</v>
      </c>
      <c r="C11" s="27" t="s">
        <v>95</v>
      </c>
      <c r="D11" s="27" t="s">
        <v>96</v>
      </c>
      <c r="E11" s="27" t="s">
        <v>97</v>
      </c>
      <c r="F11" s="36" t="s">
        <v>57</v>
      </c>
      <c r="G11" s="36" t="s">
        <v>68</v>
      </c>
      <c r="H11" s="37">
        <v>44328</v>
      </c>
      <c r="I11" s="36" t="s">
        <v>98</v>
      </c>
      <c r="J11" s="37"/>
      <c r="K11" s="27" t="s">
        <v>99</v>
      </c>
      <c r="L11" s="27" t="s">
        <v>61</v>
      </c>
      <c r="M11" s="27" t="s">
        <v>86</v>
      </c>
      <c r="N11" s="38">
        <v>44200</v>
      </c>
      <c r="O11" s="38">
        <v>0</v>
      </c>
      <c r="P11" s="38">
        <v>0</v>
      </c>
      <c r="Q11" s="39">
        <v>156800</v>
      </c>
      <c r="R11" s="36" t="s">
        <v>30</v>
      </c>
    </row>
    <row r="12" spans="2:18" ht="18.75" customHeight="1" x14ac:dyDescent="0.25">
      <c r="B12" s="30" t="s">
        <v>100</v>
      </c>
      <c r="C12" s="24" t="s">
        <v>101</v>
      </c>
      <c r="D12" s="24" t="s">
        <v>102</v>
      </c>
      <c r="E12" s="24" t="s">
        <v>103</v>
      </c>
      <c r="F12" s="31" t="s">
        <v>57</v>
      </c>
      <c r="G12" s="31" t="s">
        <v>68</v>
      </c>
      <c r="H12" s="32">
        <v>44648</v>
      </c>
      <c r="I12" s="31" t="s">
        <v>59</v>
      </c>
      <c r="J12" s="32">
        <v>46108</v>
      </c>
      <c r="K12" s="24" t="s">
        <v>104</v>
      </c>
      <c r="L12" s="24" t="s">
        <v>93</v>
      </c>
      <c r="M12" s="24" t="s">
        <v>105</v>
      </c>
      <c r="N12" s="33">
        <v>41800</v>
      </c>
      <c r="O12" s="33">
        <v>16400</v>
      </c>
      <c r="P12" s="33">
        <v>398</v>
      </c>
      <c r="Q12" s="34">
        <v>89600</v>
      </c>
      <c r="R12" s="31" t="s">
        <v>30</v>
      </c>
    </row>
    <row r="13" spans="2:18" ht="18.75" customHeight="1" x14ac:dyDescent="0.25">
      <c r="B13" s="35" t="s">
        <v>106</v>
      </c>
      <c r="C13" s="27" t="s">
        <v>107</v>
      </c>
      <c r="D13" s="27" t="s">
        <v>108</v>
      </c>
      <c r="E13" s="27" t="s">
        <v>109</v>
      </c>
      <c r="F13" s="36" t="s">
        <v>60</v>
      </c>
      <c r="G13" s="36" t="s">
        <v>110</v>
      </c>
      <c r="H13" s="37">
        <v>45096</v>
      </c>
      <c r="I13" s="36" t="s">
        <v>59</v>
      </c>
      <c r="J13" s="37">
        <v>46191</v>
      </c>
      <c r="K13" s="27" t="s">
        <v>60</v>
      </c>
      <c r="L13" s="27" t="s">
        <v>111</v>
      </c>
      <c r="M13" s="27" t="s">
        <v>105</v>
      </c>
      <c r="N13" s="38">
        <v>34900</v>
      </c>
      <c r="O13" s="38">
        <v>15100</v>
      </c>
      <c r="P13" s="38">
        <v>318</v>
      </c>
      <c r="Q13" s="39">
        <v>52700</v>
      </c>
      <c r="R13" s="36" t="s">
        <v>30</v>
      </c>
    </row>
    <row r="14" spans="2:18" ht="18.75" customHeight="1" x14ac:dyDescent="0.25">
      <c r="B14" s="30" t="s">
        <v>112</v>
      </c>
      <c r="C14" s="24" t="s">
        <v>113</v>
      </c>
      <c r="D14" s="24" t="s">
        <v>114</v>
      </c>
      <c r="E14" s="24" t="s">
        <v>115</v>
      </c>
      <c r="F14" s="31" t="s">
        <v>67</v>
      </c>
      <c r="G14" s="31" t="s">
        <v>58</v>
      </c>
      <c r="H14" s="32">
        <v>45537</v>
      </c>
      <c r="I14" s="31" t="s">
        <v>59</v>
      </c>
      <c r="J14" s="32">
        <v>46997</v>
      </c>
      <c r="K14" s="24" t="s">
        <v>116</v>
      </c>
      <c r="L14" s="24" t="s">
        <v>70</v>
      </c>
      <c r="M14" s="24" t="s">
        <v>117</v>
      </c>
      <c r="N14" s="33">
        <v>57300</v>
      </c>
      <c r="O14" s="33">
        <v>27600</v>
      </c>
      <c r="P14" s="33">
        <v>576</v>
      </c>
      <c r="Q14" s="34">
        <v>14900</v>
      </c>
      <c r="R14" s="31" t="s">
        <v>30</v>
      </c>
    </row>
    <row r="15" spans="2:18" ht="18.75" customHeight="1" x14ac:dyDescent="0.25">
      <c r="B15" s="35" t="s">
        <v>118</v>
      </c>
      <c r="C15" s="27" t="s">
        <v>119</v>
      </c>
      <c r="D15" s="27" t="s">
        <v>55</v>
      </c>
      <c r="E15" s="27" t="s">
        <v>120</v>
      </c>
      <c r="F15" s="36" t="s">
        <v>91</v>
      </c>
      <c r="G15" s="36" t="s">
        <v>68</v>
      </c>
      <c r="H15" s="37">
        <v>44848</v>
      </c>
      <c r="I15" s="36" t="s">
        <v>59</v>
      </c>
      <c r="J15" s="37">
        <v>46308</v>
      </c>
      <c r="K15" s="27" t="s">
        <v>121</v>
      </c>
      <c r="L15" s="27" t="s">
        <v>93</v>
      </c>
      <c r="M15" s="27" t="s">
        <v>117</v>
      </c>
      <c r="N15" s="38">
        <v>31600</v>
      </c>
      <c r="O15" s="38">
        <v>12900</v>
      </c>
      <c r="P15" s="38">
        <v>289</v>
      </c>
      <c r="Q15" s="39">
        <v>73100</v>
      </c>
      <c r="R15" s="36" t="s">
        <v>30</v>
      </c>
    </row>
    <row r="16" spans="2:18" ht="18.75" customHeight="1" x14ac:dyDescent="0.25">
      <c r="B16" s="30" t="s">
        <v>122</v>
      </c>
      <c r="C16" s="24" t="s">
        <v>123</v>
      </c>
      <c r="D16" s="24" t="s">
        <v>124</v>
      </c>
      <c r="E16" s="24" t="s">
        <v>125</v>
      </c>
      <c r="F16" s="31" t="s">
        <v>57</v>
      </c>
      <c r="G16" s="31" t="s">
        <v>68</v>
      </c>
      <c r="H16" s="32">
        <v>44020</v>
      </c>
      <c r="I16" s="31" t="s">
        <v>98</v>
      </c>
      <c r="J16" s="32"/>
      <c r="K16" s="24" t="s">
        <v>99</v>
      </c>
      <c r="L16" s="24" t="s">
        <v>61</v>
      </c>
      <c r="M16" s="24" t="s">
        <v>126</v>
      </c>
      <c r="N16" s="33">
        <v>47600</v>
      </c>
      <c r="O16" s="33">
        <v>0</v>
      </c>
      <c r="P16" s="33">
        <v>0</v>
      </c>
      <c r="Q16" s="34">
        <v>198400</v>
      </c>
      <c r="R16" s="31" t="s">
        <v>33</v>
      </c>
    </row>
    <row r="17" spans="2:18" ht="18.75" customHeight="1" x14ac:dyDescent="0.25">
      <c r="B17" s="35" t="s">
        <v>127</v>
      </c>
      <c r="C17" s="27" t="s">
        <v>128</v>
      </c>
      <c r="D17" s="27" t="s">
        <v>129</v>
      </c>
      <c r="E17" s="27" t="s">
        <v>130</v>
      </c>
      <c r="F17" s="36" t="s">
        <v>60</v>
      </c>
      <c r="G17" s="36" t="s">
        <v>58</v>
      </c>
      <c r="H17" s="37">
        <v>45349</v>
      </c>
      <c r="I17" s="36" t="s">
        <v>59</v>
      </c>
      <c r="J17" s="37">
        <v>46809</v>
      </c>
      <c r="K17" s="27" t="s">
        <v>60</v>
      </c>
      <c r="L17" s="27" t="s">
        <v>111</v>
      </c>
      <c r="M17" s="27" t="s">
        <v>126</v>
      </c>
      <c r="N17" s="38">
        <v>42300</v>
      </c>
      <c r="O17" s="38">
        <v>19800</v>
      </c>
      <c r="P17" s="38">
        <v>441</v>
      </c>
      <c r="Q17" s="39">
        <v>19600</v>
      </c>
      <c r="R17" s="36" t="s">
        <v>32</v>
      </c>
    </row>
    <row r="18" spans="2:18" ht="18.75" customHeight="1" x14ac:dyDescent="0.25">
      <c r="B18" s="40"/>
      <c r="C18" s="41"/>
      <c r="D18" s="41"/>
      <c r="E18" s="41"/>
      <c r="F18" s="42"/>
      <c r="G18" s="42"/>
      <c r="H18" s="43"/>
      <c r="I18" s="42"/>
      <c r="J18" s="43"/>
      <c r="K18" s="41"/>
      <c r="L18" s="41"/>
      <c r="M18" s="41"/>
      <c r="N18" s="44"/>
      <c r="O18" s="44"/>
      <c r="P18" s="44"/>
      <c r="Q18" s="45"/>
      <c r="R18" s="42"/>
    </row>
    <row r="19" spans="2:18" ht="18.75" customHeight="1" x14ac:dyDescent="0.25">
      <c r="B19" s="46"/>
      <c r="C19" s="47"/>
      <c r="D19" s="47"/>
      <c r="E19" s="47"/>
      <c r="F19" s="48"/>
      <c r="G19" s="48"/>
      <c r="H19" s="49"/>
      <c r="I19" s="48"/>
      <c r="J19" s="49"/>
      <c r="K19" s="47"/>
      <c r="L19" s="47"/>
      <c r="M19" s="47"/>
      <c r="N19" s="50"/>
      <c r="O19" s="50"/>
      <c r="P19" s="50"/>
      <c r="Q19" s="51"/>
      <c r="R19" s="48"/>
    </row>
    <row r="20" spans="2:18" ht="18.75" customHeight="1" x14ac:dyDescent="0.25">
      <c r="B20" s="40"/>
      <c r="C20" s="41"/>
      <c r="D20" s="41"/>
      <c r="E20" s="41"/>
      <c r="F20" s="42"/>
      <c r="G20" s="42"/>
      <c r="H20" s="43"/>
      <c r="I20" s="42"/>
      <c r="J20" s="43"/>
      <c r="K20" s="41"/>
      <c r="L20" s="41"/>
      <c r="M20" s="41"/>
      <c r="N20" s="44"/>
      <c r="O20" s="44"/>
      <c r="P20" s="44"/>
      <c r="Q20" s="45"/>
      <c r="R20" s="42"/>
    </row>
    <row r="21" spans="2:18" ht="18.75" customHeight="1" x14ac:dyDescent="0.25">
      <c r="B21" s="46"/>
      <c r="C21" s="47"/>
      <c r="D21" s="47"/>
      <c r="E21" s="47"/>
      <c r="F21" s="48"/>
      <c r="G21" s="48"/>
      <c r="H21" s="49"/>
      <c r="I21" s="48"/>
      <c r="J21" s="49"/>
      <c r="K21" s="47"/>
      <c r="L21" s="47"/>
      <c r="M21" s="47"/>
      <c r="N21" s="50"/>
      <c r="O21" s="50"/>
      <c r="P21" s="50"/>
      <c r="Q21" s="51"/>
      <c r="R21" s="48"/>
    </row>
    <row r="22" spans="2:18" ht="18.75" customHeight="1" x14ac:dyDescent="0.25">
      <c r="B22" s="40"/>
      <c r="C22" s="41"/>
      <c r="D22" s="41"/>
      <c r="E22" s="41"/>
      <c r="F22" s="42"/>
      <c r="G22" s="42"/>
      <c r="H22" s="43"/>
      <c r="I22" s="42"/>
      <c r="J22" s="43"/>
      <c r="K22" s="41"/>
      <c r="L22" s="41"/>
      <c r="M22" s="41"/>
      <c r="N22" s="44"/>
      <c r="O22" s="44"/>
      <c r="P22" s="44"/>
      <c r="Q22" s="45"/>
      <c r="R22" s="42"/>
    </row>
    <row r="23" spans="2:18" ht="18.75" customHeight="1" x14ac:dyDescent="0.25">
      <c r="B23" s="46"/>
      <c r="C23" s="47"/>
      <c r="D23" s="47"/>
      <c r="E23" s="47"/>
      <c r="F23" s="48"/>
      <c r="G23" s="48"/>
      <c r="H23" s="49"/>
      <c r="I23" s="48"/>
      <c r="J23" s="49"/>
      <c r="K23" s="47"/>
      <c r="L23" s="47"/>
      <c r="M23" s="47"/>
      <c r="N23" s="50"/>
      <c r="O23" s="50"/>
      <c r="P23" s="50"/>
      <c r="Q23" s="51"/>
      <c r="R23" s="48"/>
    </row>
  </sheetData>
  <autoFilter ref="B5:R23" xr:uid="{00000000-0009-0000-0000-000001000000}"/>
  <mergeCells count="2">
    <mergeCell ref="B2:R2"/>
    <mergeCell ref="B3:R3"/>
  </mergeCells>
  <conditionalFormatting sqref="R6:R23">
    <cfRule type="cellIs" dxfId="9" priority="2" operator="equal">
      <formula>"Aktiv"</formula>
    </cfRule>
    <cfRule type="cellIs" dxfId="8" priority="3" operator="equal">
      <formula>"In Wartung"</formula>
    </cfRule>
    <cfRule type="cellIs" dxfId="7" priority="4" operator="equal">
      <formula>"Reserviert"</formula>
    </cfRule>
    <cfRule type="cellIs" dxfId="6" priority="5" operator="equal">
      <formula>"Stillgelegt"</formula>
    </cfRule>
    <cfRule type="cellIs" dxfId="5" priority="6" operator="equal">
      <formula>"Verkauft"</formula>
    </cfRule>
  </conditionalFormatting>
  <printOptions horizontalCentered="1"/>
  <pageMargins left="0.75" right="0.75" top="1" bottom="1" header="0.511811023622047" footer="0.511811023622047"/>
  <pageSetup fitToHeight="0" orientation="landscape" horizontalDpi="300" verticalDpi="300"/>
  <extLst>
    <ext xmlns:x14="http://schemas.microsoft.com/office/spreadsheetml/2009/9/main" uri="{CCE6A557-97BC-4b89-ADB6-D9C93CAAB3DF}">
      <x14:dataValidations xmlns:xm="http://schemas.microsoft.com/office/excel/2006/main" count="4">
        <x14:dataValidation type="list" allowBlank="1" xr:uid="{00000000-0002-0000-0100-000000000000}">
          <x14:formula1>
            <xm:f>Listen!$B$3:$B$8</xm:f>
          </x14:formula1>
          <x14:formula2>
            <xm:f>0</xm:f>
          </x14:formula2>
          <xm:sqref>G6:G23</xm:sqref>
        </x14:dataValidation>
        <x14:dataValidation type="list" allowBlank="1" xr:uid="{00000000-0002-0000-0100-000001000000}">
          <x14:formula1>
            <xm:f>Listen!$C$3:$C$7</xm:f>
          </x14:formula1>
          <x14:formula2>
            <xm:f>0</xm:f>
          </x14:formula2>
          <xm:sqref>F6:F23</xm:sqref>
        </x14:dataValidation>
        <x14:dataValidation type="list" allowBlank="1" xr:uid="{00000000-0002-0000-0100-000002000000}">
          <x14:formula1>
            <xm:f>Listen!$D$3:$D$6</xm:f>
          </x14:formula1>
          <x14:formula2>
            <xm:f>0</xm:f>
          </x14:formula2>
          <xm:sqref>I6:I23</xm:sqref>
        </x14:dataValidation>
        <x14:dataValidation type="list" allowBlank="1" xr:uid="{00000000-0002-0000-0100-000003000000}">
          <x14:formula1>
            <xm:f>Listen!$A$3:$A$7</xm:f>
          </x14:formula1>
          <x14:formula2>
            <xm:f>0</xm:f>
          </x14:formula2>
          <xm:sqref>R6:R23</xm:sqref>
        </x14:dataValidation>
      </x14:dataValidations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rgb="FF3C5A76"/>
    <pageSetUpPr fitToPage="1"/>
  </sheetPr>
  <dimension ref="B2:K56"/>
  <sheetViews>
    <sheetView showGridLines="0" zoomScaleNormal="100" workbookViewId="0">
      <pane xSplit="1" ySplit="5" topLeftCell="B6" activePane="bottomRight" state="frozen"/>
      <selection pane="topRight" activeCell="B1" sqref="B1"/>
      <selection pane="bottomLeft" activeCell="A6" sqref="A6"/>
      <selection pane="bottomRight"/>
    </sheetView>
  </sheetViews>
  <sheetFormatPr baseColWidth="10" defaultColWidth="8.7109375" defaultRowHeight="15" x14ac:dyDescent="0.25"/>
  <cols>
    <col min="1" max="1" width="2" customWidth="1"/>
    <col min="2" max="3" width="12" customWidth="1"/>
    <col min="4" max="4" width="20" customWidth="1"/>
    <col min="5" max="5" width="30" customWidth="1"/>
    <col min="6" max="6" width="12" customWidth="1"/>
    <col min="7" max="7" width="9" customWidth="1"/>
    <col min="8" max="9" width="13" customWidth="1"/>
    <col min="10" max="10" width="11" customWidth="1"/>
    <col min="11" max="11" width="13" customWidth="1"/>
  </cols>
  <sheetData>
    <row r="2" spans="2:11" ht="25.5" customHeight="1" x14ac:dyDescent="0.25">
      <c r="B2" s="92" t="s">
        <v>131</v>
      </c>
      <c r="C2" s="92"/>
      <c r="D2" s="92"/>
      <c r="E2" s="92"/>
      <c r="F2" s="92"/>
      <c r="G2" s="92"/>
      <c r="H2" s="92"/>
      <c r="I2" s="92"/>
      <c r="J2" s="92"/>
      <c r="K2" s="92"/>
    </row>
    <row r="3" spans="2:11" x14ac:dyDescent="0.25">
      <c r="B3" s="93" t="s">
        <v>132</v>
      </c>
      <c r="C3" s="93"/>
      <c r="D3" s="93"/>
      <c r="E3" s="93"/>
      <c r="F3" s="93"/>
      <c r="G3" s="93"/>
      <c r="H3" s="93"/>
      <c r="I3" s="93"/>
      <c r="J3" s="93"/>
      <c r="K3" s="93"/>
    </row>
    <row r="5" spans="2:11" ht="24" customHeight="1" x14ac:dyDescent="0.25">
      <c r="B5" s="29" t="s">
        <v>133</v>
      </c>
      <c r="C5" s="29" t="s">
        <v>24</v>
      </c>
      <c r="D5" s="29" t="s">
        <v>134</v>
      </c>
      <c r="E5" s="29" t="s">
        <v>135</v>
      </c>
      <c r="F5" s="29" t="s">
        <v>136</v>
      </c>
      <c r="G5" s="29" t="s">
        <v>137</v>
      </c>
      <c r="H5" s="29" t="s">
        <v>138</v>
      </c>
      <c r="I5" s="29" t="s">
        <v>139</v>
      </c>
      <c r="J5" s="29" t="s">
        <v>52</v>
      </c>
      <c r="K5" s="29" t="s">
        <v>140</v>
      </c>
    </row>
    <row r="6" spans="2:11" ht="18" customHeight="1" x14ac:dyDescent="0.25">
      <c r="B6" s="43">
        <v>46029</v>
      </c>
      <c r="C6" s="42" t="s">
        <v>63</v>
      </c>
      <c r="D6" s="52" t="s">
        <v>141</v>
      </c>
      <c r="E6" s="52" t="s">
        <v>142</v>
      </c>
      <c r="F6" s="53">
        <v>121.4</v>
      </c>
      <c r="G6" s="54">
        <v>0.19</v>
      </c>
      <c r="H6" s="55">
        <f t="shared" ref="H6:H41" si="0">F6*G6</f>
        <v>23.066000000000003</v>
      </c>
      <c r="I6" s="55">
        <f t="shared" ref="I6:I41" si="1">F6+H6</f>
        <v>144.46600000000001</v>
      </c>
      <c r="J6" s="45">
        <v>69100</v>
      </c>
      <c r="K6" s="52" t="s">
        <v>143</v>
      </c>
    </row>
    <row r="7" spans="2:11" ht="18" customHeight="1" x14ac:dyDescent="0.25">
      <c r="B7" s="49">
        <v>46031</v>
      </c>
      <c r="C7" s="48" t="s">
        <v>79</v>
      </c>
      <c r="D7" s="56" t="s">
        <v>141</v>
      </c>
      <c r="E7" s="56" t="s">
        <v>144</v>
      </c>
      <c r="F7" s="57">
        <v>63.2</v>
      </c>
      <c r="G7" s="58">
        <v>0.19</v>
      </c>
      <c r="H7" s="59">
        <f t="shared" si="0"/>
        <v>12.008000000000001</v>
      </c>
      <c r="I7" s="59">
        <f t="shared" si="1"/>
        <v>75.207999999999998</v>
      </c>
      <c r="J7" s="51">
        <v>27600</v>
      </c>
      <c r="K7" s="56" t="s">
        <v>145</v>
      </c>
    </row>
    <row r="8" spans="2:11" ht="18" customHeight="1" x14ac:dyDescent="0.25">
      <c r="B8" s="43">
        <v>46035</v>
      </c>
      <c r="C8" s="42" t="s">
        <v>100</v>
      </c>
      <c r="D8" s="52" t="s">
        <v>146</v>
      </c>
      <c r="E8" s="52" t="s">
        <v>147</v>
      </c>
      <c r="F8" s="53">
        <v>512</v>
      </c>
      <c r="G8" s="54">
        <v>0.19</v>
      </c>
      <c r="H8" s="55">
        <f t="shared" si="0"/>
        <v>97.28</v>
      </c>
      <c r="I8" s="55">
        <f t="shared" si="1"/>
        <v>609.28</v>
      </c>
      <c r="J8" s="45">
        <v>89900</v>
      </c>
      <c r="K8" s="52" t="s">
        <v>148</v>
      </c>
    </row>
    <row r="9" spans="2:11" ht="18" customHeight="1" x14ac:dyDescent="0.25">
      <c r="B9" s="49">
        <v>46038</v>
      </c>
      <c r="C9" s="48" t="s">
        <v>53</v>
      </c>
      <c r="D9" s="56" t="s">
        <v>141</v>
      </c>
      <c r="E9" s="56" t="s">
        <v>149</v>
      </c>
      <c r="F9" s="57">
        <v>44.8</v>
      </c>
      <c r="G9" s="58">
        <v>0.19</v>
      </c>
      <c r="H9" s="59">
        <f t="shared" si="0"/>
        <v>8.5119999999999987</v>
      </c>
      <c r="I9" s="59">
        <f t="shared" si="1"/>
        <v>53.311999999999998</v>
      </c>
      <c r="J9" s="51">
        <v>21900</v>
      </c>
      <c r="K9" s="56" t="s">
        <v>150</v>
      </c>
    </row>
    <row r="10" spans="2:11" ht="18" customHeight="1" x14ac:dyDescent="0.25">
      <c r="B10" s="43">
        <v>46042</v>
      </c>
      <c r="C10" s="42" t="s">
        <v>118</v>
      </c>
      <c r="D10" s="52" t="s">
        <v>151</v>
      </c>
      <c r="E10" s="52" t="s">
        <v>152</v>
      </c>
      <c r="F10" s="53">
        <v>286</v>
      </c>
      <c r="G10" s="54">
        <v>0</v>
      </c>
      <c r="H10" s="55">
        <f t="shared" si="0"/>
        <v>0</v>
      </c>
      <c r="I10" s="55">
        <f t="shared" si="1"/>
        <v>286</v>
      </c>
      <c r="J10" s="45">
        <v>73400</v>
      </c>
      <c r="K10" s="52" t="s">
        <v>153</v>
      </c>
    </row>
    <row r="11" spans="2:11" ht="18" customHeight="1" x14ac:dyDescent="0.25">
      <c r="B11" s="49">
        <v>46045</v>
      </c>
      <c r="C11" s="48" t="s">
        <v>87</v>
      </c>
      <c r="D11" s="56" t="s">
        <v>154</v>
      </c>
      <c r="E11" s="56" t="s">
        <v>155</v>
      </c>
      <c r="F11" s="57">
        <v>743</v>
      </c>
      <c r="G11" s="58">
        <v>0.19</v>
      </c>
      <c r="H11" s="59">
        <f t="shared" si="0"/>
        <v>141.16999999999999</v>
      </c>
      <c r="I11" s="59">
        <f t="shared" si="1"/>
        <v>884.17</v>
      </c>
      <c r="J11" s="51">
        <v>34100</v>
      </c>
      <c r="K11" s="56" t="s">
        <v>156</v>
      </c>
    </row>
    <row r="12" spans="2:11" ht="18" customHeight="1" x14ac:dyDescent="0.25">
      <c r="B12" s="43">
        <v>46050</v>
      </c>
      <c r="C12" s="42" t="s">
        <v>106</v>
      </c>
      <c r="D12" s="52" t="s">
        <v>141</v>
      </c>
      <c r="E12" s="52" t="s">
        <v>157</v>
      </c>
      <c r="F12" s="53">
        <v>71.099999999999994</v>
      </c>
      <c r="G12" s="54">
        <v>0.19</v>
      </c>
      <c r="H12" s="55">
        <f t="shared" si="0"/>
        <v>13.508999999999999</v>
      </c>
      <c r="I12" s="55">
        <f t="shared" si="1"/>
        <v>84.608999999999995</v>
      </c>
      <c r="J12" s="45">
        <v>53200</v>
      </c>
      <c r="K12" s="52" t="s">
        <v>158</v>
      </c>
    </row>
    <row r="13" spans="2:11" ht="18" customHeight="1" x14ac:dyDescent="0.25">
      <c r="B13" s="49">
        <v>46057</v>
      </c>
      <c r="C13" s="48" t="s">
        <v>63</v>
      </c>
      <c r="D13" s="56" t="s">
        <v>159</v>
      </c>
      <c r="E13" s="56" t="s">
        <v>160</v>
      </c>
      <c r="F13" s="57">
        <v>362</v>
      </c>
      <c r="G13" s="58">
        <v>0.19</v>
      </c>
      <c r="H13" s="59">
        <f t="shared" si="0"/>
        <v>68.78</v>
      </c>
      <c r="I13" s="59">
        <f t="shared" si="1"/>
        <v>430.78</v>
      </c>
      <c r="J13" s="51">
        <v>70200</v>
      </c>
      <c r="K13" s="56" t="s">
        <v>161</v>
      </c>
    </row>
    <row r="14" spans="2:11" ht="18" customHeight="1" x14ac:dyDescent="0.25">
      <c r="B14" s="43">
        <v>46059</v>
      </c>
      <c r="C14" s="42" t="s">
        <v>112</v>
      </c>
      <c r="D14" s="52" t="s">
        <v>141</v>
      </c>
      <c r="E14" s="52" t="s">
        <v>162</v>
      </c>
      <c r="F14" s="53">
        <v>52.6</v>
      </c>
      <c r="G14" s="54">
        <v>0.19</v>
      </c>
      <c r="H14" s="55">
        <f t="shared" si="0"/>
        <v>9.9939999999999998</v>
      </c>
      <c r="I14" s="55">
        <f t="shared" si="1"/>
        <v>62.594000000000001</v>
      </c>
      <c r="J14" s="45">
        <v>15400</v>
      </c>
      <c r="K14" s="52" t="s">
        <v>163</v>
      </c>
    </row>
    <row r="15" spans="2:11" ht="18" customHeight="1" x14ac:dyDescent="0.25">
      <c r="B15" s="49">
        <v>46064</v>
      </c>
      <c r="C15" s="48" t="s">
        <v>94</v>
      </c>
      <c r="D15" s="56" t="s">
        <v>146</v>
      </c>
      <c r="E15" s="56" t="s">
        <v>164</v>
      </c>
      <c r="F15" s="57">
        <v>624</v>
      </c>
      <c r="G15" s="58">
        <v>0.19</v>
      </c>
      <c r="H15" s="59">
        <f t="shared" si="0"/>
        <v>118.56</v>
      </c>
      <c r="I15" s="59">
        <f t="shared" si="1"/>
        <v>742.56</v>
      </c>
      <c r="J15" s="51">
        <v>157400</v>
      </c>
      <c r="K15" s="56" t="s">
        <v>165</v>
      </c>
    </row>
    <row r="16" spans="2:11" ht="18" customHeight="1" x14ac:dyDescent="0.25">
      <c r="B16" s="43">
        <v>46067</v>
      </c>
      <c r="C16" s="42" t="s">
        <v>127</v>
      </c>
      <c r="D16" s="52" t="s">
        <v>166</v>
      </c>
      <c r="E16" s="52" t="s">
        <v>167</v>
      </c>
      <c r="F16" s="53">
        <v>690</v>
      </c>
      <c r="G16" s="54">
        <v>0.19</v>
      </c>
      <c r="H16" s="55">
        <f t="shared" si="0"/>
        <v>131.1</v>
      </c>
      <c r="I16" s="55">
        <f t="shared" si="1"/>
        <v>821.1</v>
      </c>
      <c r="J16" s="45">
        <v>19900</v>
      </c>
      <c r="K16" s="52" t="s">
        <v>168</v>
      </c>
    </row>
    <row r="17" spans="2:11" ht="18" customHeight="1" x14ac:dyDescent="0.25">
      <c r="B17" s="49">
        <v>46071</v>
      </c>
      <c r="C17" s="48" t="s">
        <v>71</v>
      </c>
      <c r="D17" s="56" t="s">
        <v>169</v>
      </c>
      <c r="E17" s="56" t="s">
        <v>170</v>
      </c>
      <c r="F17" s="57">
        <v>174</v>
      </c>
      <c r="G17" s="58">
        <v>0</v>
      </c>
      <c r="H17" s="59">
        <f t="shared" si="0"/>
        <v>0</v>
      </c>
      <c r="I17" s="59">
        <f t="shared" si="1"/>
        <v>174</v>
      </c>
      <c r="J17" s="51">
        <v>41500</v>
      </c>
      <c r="K17" s="56" t="s">
        <v>171</v>
      </c>
    </row>
    <row r="18" spans="2:11" ht="18" customHeight="1" x14ac:dyDescent="0.25">
      <c r="B18" s="43">
        <v>46077</v>
      </c>
      <c r="C18" s="42" t="s">
        <v>100</v>
      </c>
      <c r="D18" s="52" t="s">
        <v>141</v>
      </c>
      <c r="E18" s="52" t="s">
        <v>68</v>
      </c>
      <c r="F18" s="53">
        <v>134.69999999999999</v>
      </c>
      <c r="G18" s="54">
        <v>0.19</v>
      </c>
      <c r="H18" s="55">
        <f t="shared" si="0"/>
        <v>25.592999999999996</v>
      </c>
      <c r="I18" s="55">
        <f t="shared" si="1"/>
        <v>160.29299999999998</v>
      </c>
      <c r="J18" s="45">
        <v>90600</v>
      </c>
      <c r="K18" s="52" t="s">
        <v>172</v>
      </c>
    </row>
    <row r="19" spans="2:11" ht="18" customHeight="1" x14ac:dyDescent="0.25">
      <c r="B19" s="49">
        <v>46084</v>
      </c>
      <c r="C19" s="48" t="s">
        <v>79</v>
      </c>
      <c r="D19" s="56" t="s">
        <v>173</v>
      </c>
      <c r="E19" s="56" t="s">
        <v>174</v>
      </c>
      <c r="F19" s="57">
        <v>38</v>
      </c>
      <c r="G19" s="58">
        <v>0.19</v>
      </c>
      <c r="H19" s="59">
        <f t="shared" si="0"/>
        <v>7.22</v>
      </c>
      <c r="I19" s="59">
        <f t="shared" si="1"/>
        <v>45.22</v>
      </c>
      <c r="J19" s="51">
        <v>28200</v>
      </c>
      <c r="K19" s="56" t="s">
        <v>175</v>
      </c>
    </row>
    <row r="20" spans="2:11" ht="18" customHeight="1" x14ac:dyDescent="0.25">
      <c r="B20" s="43">
        <v>46088</v>
      </c>
      <c r="C20" s="42" t="s">
        <v>87</v>
      </c>
      <c r="D20" s="52" t="s">
        <v>141</v>
      </c>
      <c r="E20" s="52" t="s">
        <v>176</v>
      </c>
      <c r="F20" s="53">
        <v>48.3</v>
      </c>
      <c r="G20" s="54">
        <v>0.19</v>
      </c>
      <c r="H20" s="55">
        <f t="shared" si="0"/>
        <v>9.1769999999999996</v>
      </c>
      <c r="I20" s="55">
        <f t="shared" si="1"/>
        <v>57.476999999999997</v>
      </c>
      <c r="J20" s="45">
        <v>34600</v>
      </c>
      <c r="K20" s="52" t="s">
        <v>177</v>
      </c>
    </row>
    <row r="21" spans="2:11" ht="18" customHeight="1" x14ac:dyDescent="0.25">
      <c r="B21" s="49">
        <v>46093</v>
      </c>
      <c r="C21" s="48" t="s">
        <v>118</v>
      </c>
      <c r="D21" s="56" t="s">
        <v>154</v>
      </c>
      <c r="E21" s="56" t="s">
        <v>178</v>
      </c>
      <c r="F21" s="57">
        <v>1180</v>
      </c>
      <c r="G21" s="58">
        <v>0.19</v>
      </c>
      <c r="H21" s="59">
        <f t="shared" si="0"/>
        <v>224.2</v>
      </c>
      <c r="I21" s="59">
        <f t="shared" si="1"/>
        <v>1404.2</v>
      </c>
      <c r="J21" s="51">
        <v>73900</v>
      </c>
      <c r="K21" s="56" t="s">
        <v>179</v>
      </c>
    </row>
    <row r="22" spans="2:11" ht="18" customHeight="1" x14ac:dyDescent="0.25">
      <c r="B22" s="43">
        <v>46099</v>
      </c>
      <c r="C22" s="42" t="s">
        <v>53</v>
      </c>
      <c r="D22" s="52" t="s">
        <v>146</v>
      </c>
      <c r="E22" s="52" t="s">
        <v>180</v>
      </c>
      <c r="F22" s="53">
        <v>198</v>
      </c>
      <c r="G22" s="54">
        <v>0.19</v>
      </c>
      <c r="H22" s="55">
        <f t="shared" si="0"/>
        <v>37.619999999999997</v>
      </c>
      <c r="I22" s="55">
        <f t="shared" si="1"/>
        <v>235.62</v>
      </c>
      <c r="J22" s="45">
        <v>22600</v>
      </c>
      <c r="K22" s="52" t="s">
        <v>181</v>
      </c>
    </row>
    <row r="23" spans="2:11" ht="18" customHeight="1" x14ac:dyDescent="0.25">
      <c r="B23" s="49">
        <v>46106</v>
      </c>
      <c r="C23" s="48" t="s">
        <v>106</v>
      </c>
      <c r="D23" s="56" t="s">
        <v>141</v>
      </c>
      <c r="E23" s="56" t="s">
        <v>75</v>
      </c>
      <c r="F23" s="57">
        <v>66.400000000000006</v>
      </c>
      <c r="G23" s="58">
        <v>0.19</v>
      </c>
      <c r="H23" s="59">
        <f t="shared" si="0"/>
        <v>12.616000000000001</v>
      </c>
      <c r="I23" s="59">
        <f t="shared" si="1"/>
        <v>79.016000000000005</v>
      </c>
      <c r="J23" s="51">
        <v>54000</v>
      </c>
      <c r="K23" s="56" t="s">
        <v>182</v>
      </c>
    </row>
    <row r="24" spans="2:11" ht="18" customHeight="1" x14ac:dyDescent="0.25">
      <c r="B24" s="43">
        <v>46114</v>
      </c>
      <c r="C24" s="42" t="s">
        <v>63</v>
      </c>
      <c r="D24" s="52" t="s">
        <v>141</v>
      </c>
      <c r="E24" s="52" t="s">
        <v>142</v>
      </c>
      <c r="F24" s="53">
        <v>128.9</v>
      </c>
      <c r="G24" s="54">
        <v>0.19</v>
      </c>
      <c r="H24" s="55">
        <f t="shared" si="0"/>
        <v>24.491</v>
      </c>
      <c r="I24" s="55">
        <f t="shared" si="1"/>
        <v>153.39100000000002</v>
      </c>
      <c r="J24" s="45">
        <v>71800</v>
      </c>
      <c r="K24" s="52" t="s">
        <v>183</v>
      </c>
    </row>
    <row r="25" spans="2:11" ht="18" customHeight="1" x14ac:dyDescent="0.25">
      <c r="B25" s="49">
        <v>46121</v>
      </c>
      <c r="C25" s="48" t="s">
        <v>94</v>
      </c>
      <c r="D25" s="56" t="s">
        <v>166</v>
      </c>
      <c r="E25" s="56" t="s">
        <v>184</v>
      </c>
      <c r="F25" s="57">
        <v>142</v>
      </c>
      <c r="G25" s="58">
        <v>0.19</v>
      </c>
      <c r="H25" s="59">
        <f t="shared" si="0"/>
        <v>26.98</v>
      </c>
      <c r="I25" s="59">
        <f t="shared" si="1"/>
        <v>168.98</v>
      </c>
      <c r="J25" s="51">
        <v>158900</v>
      </c>
      <c r="K25" s="56" t="s">
        <v>185</v>
      </c>
    </row>
    <row r="26" spans="2:11" ht="18" customHeight="1" x14ac:dyDescent="0.25">
      <c r="B26" s="43">
        <v>46127</v>
      </c>
      <c r="C26" s="42" t="s">
        <v>112</v>
      </c>
      <c r="D26" s="52" t="s">
        <v>151</v>
      </c>
      <c r="E26" s="52" t="s">
        <v>186</v>
      </c>
      <c r="F26" s="53">
        <v>612</v>
      </c>
      <c r="G26" s="54">
        <v>0</v>
      </c>
      <c r="H26" s="55">
        <f t="shared" si="0"/>
        <v>0</v>
      </c>
      <c r="I26" s="55">
        <f t="shared" si="1"/>
        <v>612</v>
      </c>
      <c r="J26" s="45">
        <v>16100</v>
      </c>
      <c r="K26" s="52" t="s">
        <v>187</v>
      </c>
    </row>
    <row r="27" spans="2:11" ht="18" customHeight="1" x14ac:dyDescent="0.25">
      <c r="B27" s="49">
        <v>46134</v>
      </c>
      <c r="C27" s="48" t="s">
        <v>127</v>
      </c>
      <c r="D27" s="56" t="s">
        <v>141</v>
      </c>
      <c r="E27" s="56" t="s">
        <v>149</v>
      </c>
      <c r="F27" s="57">
        <v>39.700000000000003</v>
      </c>
      <c r="G27" s="58">
        <v>0.19</v>
      </c>
      <c r="H27" s="59">
        <f t="shared" si="0"/>
        <v>7.543000000000001</v>
      </c>
      <c r="I27" s="59">
        <f t="shared" si="1"/>
        <v>47.243000000000002</v>
      </c>
      <c r="J27" s="51">
        <v>20500</v>
      </c>
      <c r="K27" s="56" t="s">
        <v>188</v>
      </c>
    </row>
    <row r="28" spans="2:11" ht="18" customHeight="1" x14ac:dyDescent="0.25">
      <c r="B28" s="43">
        <v>46140</v>
      </c>
      <c r="C28" s="42" t="s">
        <v>100</v>
      </c>
      <c r="D28" s="52" t="s">
        <v>154</v>
      </c>
      <c r="E28" s="52" t="s">
        <v>189</v>
      </c>
      <c r="F28" s="53">
        <v>458</v>
      </c>
      <c r="G28" s="54">
        <v>0.19</v>
      </c>
      <c r="H28" s="55">
        <f t="shared" si="0"/>
        <v>87.02</v>
      </c>
      <c r="I28" s="55">
        <f t="shared" si="1"/>
        <v>545.02</v>
      </c>
      <c r="J28" s="45">
        <v>91800</v>
      </c>
      <c r="K28" s="52" t="s">
        <v>190</v>
      </c>
    </row>
    <row r="29" spans="2:11" ht="18" customHeight="1" x14ac:dyDescent="0.25">
      <c r="B29" s="49">
        <v>46148</v>
      </c>
      <c r="C29" s="48" t="s">
        <v>79</v>
      </c>
      <c r="D29" s="56" t="s">
        <v>141</v>
      </c>
      <c r="E29" s="56" t="s">
        <v>144</v>
      </c>
      <c r="F29" s="57">
        <v>58.8</v>
      </c>
      <c r="G29" s="58">
        <v>0.19</v>
      </c>
      <c r="H29" s="59">
        <f t="shared" si="0"/>
        <v>11.171999999999999</v>
      </c>
      <c r="I29" s="59">
        <f t="shared" si="1"/>
        <v>69.971999999999994</v>
      </c>
      <c r="J29" s="51">
        <v>29100</v>
      </c>
      <c r="K29" s="56" t="s">
        <v>191</v>
      </c>
    </row>
    <row r="30" spans="2:11" ht="18" customHeight="1" x14ac:dyDescent="0.25">
      <c r="B30" s="43">
        <v>46156</v>
      </c>
      <c r="C30" s="42" t="s">
        <v>71</v>
      </c>
      <c r="D30" s="52" t="s">
        <v>146</v>
      </c>
      <c r="E30" s="52" t="s">
        <v>192</v>
      </c>
      <c r="F30" s="53">
        <v>389</v>
      </c>
      <c r="G30" s="54">
        <v>0.19</v>
      </c>
      <c r="H30" s="55">
        <f t="shared" si="0"/>
        <v>73.91</v>
      </c>
      <c r="I30" s="55">
        <f t="shared" si="1"/>
        <v>462.90999999999997</v>
      </c>
      <c r="J30" s="45">
        <v>42400</v>
      </c>
      <c r="K30" s="52" t="s">
        <v>193</v>
      </c>
    </row>
    <row r="31" spans="2:11" ht="18" customHeight="1" x14ac:dyDescent="0.25">
      <c r="B31" s="49">
        <v>46163</v>
      </c>
      <c r="C31" s="48" t="s">
        <v>118</v>
      </c>
      <c r="D31" s="56" t="s">
        <v>141</v>
      </c>
      <c r="E31" s="56" t="s">
        <v>68</v>
      </c>
      <c r="F31" s="57">
        <v>119.2</v>
      </c>
      <c r="G31" s="58">
        <v>0.19</v>
      </c>
      <c r="H31" s="59">
        <f t="shared" si="0"/>
        <v>22.648</v>
      </c>
      <c r="I31" s="59">
        <f t="shared" si="1"/>
        <v>141.84800000000001</v>
      </c>
      <c r="J31" s="51">
        <v>74600</v>
      </c>
      <c r="K31" s="56" t="s">
        <v>194</v>
      </c>
    </row>
    <row r="32" spans="2:11" ht="18" customHeight="1" x14ac:dyDescent="0.25">
      <c r="B32" s="43">
        <v>46177</v>
      </c>
      <c r="C32" s="42" t="s">
        <v>87</v>
      </c>
      <c r="D32" s="52" t="s">
        <v>141</v>
      </c>
      <c r="E32" s="52" t="s">
        <v>176</v>
      </c>
      <c r="F32" s="53">
        <v>51.1</v>
      </c>
      <c r="G32" s="54">
        <v>0.19</v>
      </c>
      <c r="H32" s="55">
        <f t="shared" si="0"/>
        <v>9.7089999999999996</v>
      </c>
      <c r="I32" s="55">
        <f t="shared" si="1"/>
        <v>60.808999999999997</v>
      </c>
      <c r="J32" s="45">
        <v>35200</v>
      </c>
      <c r="K32" s="52" t="s">
        <v>195</v>
      </c>
    </row>
    <row r="33" spans="2:11" ht="18" customHeight="1" x14ac:dyDescent="0.25">
      <c r="B33" s="49">
        <v>46185</v>
      </c>
      <c r="C33" s="48" t="s">
        <v>53</v>
      </c>
      <c r="D33" s="56" t="s">
        <v>173</v>
      </c>
      <c r="E33" s="56" t="s">
        <v>196</v>
      </c>
      <c r="F33" s="57">
        <v>24</v>
      </c>
      <c r="G33" s="58">
        <v>0.19</v>
      </c>
      <c r="H33" s="59">
        <f t="shared" si="0"/>
        <v>4.5600000000000005</v>
      </c>
      <c r="I33" s="59">
        <f t="shared" si="1"/>
        <v>28.560000000000002</v>
      </c>
      <c r="J33" s="51">
        <v>23400</v>
      </c>
      <c r="K33" s="56" t="s">
        <v>197</v>
      </c>
    </row>
    <row r="34" spans="2:11" ht="18" customHeight="1" x14ac:dyDescent="0.25">
      <c r="B34" s="43">
        <v>46196</v>
      </c>
      <c r="C34" s="42" t="s">
        <v>106</v>
      </c>
      <c r="D34" s="52" t="s">
        <v>146</v>
      </c>
      <c r="E34" s="52" t="s">
        <v>198</v>
      </c>
      <c r="F34" s="53">
        <v>156</v>
      </c>
      <c r="G34" s="54">
        <v>0.19</v>
      </c>
      <c r="H34" s="55">
        <f t="shared" si="0"/>
        <v>29.64</v>
      </c>
      <c r="I34" s="55">
        <f t="shared" si="1"/>
        <v>185.64</v>
      </c>
      <c r="J34" s="45">
        <v>55100</v>
      </c>
      <c r="K34" s="52" t="s">
        <v>199</v>
      </c>
    </row>
    <row r="35" spans="2:11" ht="18" customHeight="1" x14ac:dyDescent="0.25">
      <c r="B35" s="49">
        <v>46206</v>
      </c>
      <c r="C35" s="48" t="s">
        <v>112</v>
      </c>
      <c r="D35" s="56" t="s">
        <v>141</v>
      </c>
      <c r="E35" s="56" t="s">
        <v>162</v>
      </c>
      <c r="F35" s="57">
        <v>61.4</v>
      </c>
      <c r="G35" s="58">
        <v>0.19</v>
      </c>
      <c r="H35" s="59">
        <f t="shared" si="0"/>
        <v>11.666</v>
      </c>
      <c r="I35" s="59">
        <f t="shared" si="1"/>
        <v>73.066000000000003</v>
      </c>
      <c r="J35" s="51">
        <v>17200</v>
      </c>
      <c r="K35" s="56" t="s">
        <v>200</v>
      </c>
    </row>
    <row r="36" spans="2:11" ht="18" customHeight="1" x14ac:dyDescent="0.25">
      <c r="B36" s="43">
        <v>46218</v>
      </c>
      <c r="C36" s="42" t="s">
        <v>63</v>
      </c>
      <c r="D36" s="52" t="s">
        <v>154</v>
      </c>
      <c r="E36" s="52" t="s">
        <v>201</v>
      </c>
      <c r="F36" s="53">
        <v>520</v>
      </c>
      <c r="G36" s="54">
        <v>0.19</v>
      </c>
      <c r="H36" s="55">
        <f t="shared" si="0"/>
        <v>98.8</v>
      </c>
      <c r="I36" s="55">
        <f t="shared" si="1"/>
        <v>618.79999999999995</v>
      </c>
      <c r="J36" s="45">
        <v>73200</v>
      </c>
      <c r="K36" s="52" t="s">
        <v>202</v>
      </c>
    </row>
    <row r="37" spans="2:11" ht="18" customHeight="1" x14ac:dyDescent="0.25">
      <c r="B37" s="49">
        <v>46231</v>
      </c>
      <c r="C37" s="48" t="s">
        <v>94</v>
      </c>
      <c r="D37" s="56" t="s">
        <v>141</v>
      </c>
      <c r="E37" s="56" t="s">
        <v>68</v>
      </c>
      <c r="F37" s="57">
        <v>148.6</v>
      </c>
      <c r="G37" s="58">
        <v>0.19</v>
      </c>
      <c r="H37" s="59">
        <f t="shared" si="0"/>
        <v>28.233999999999998</v>
      </c>
      <c r="I37" s="59">
        <f t="shared" si="1"/>
        <v>176.834</v>
      </c>
      <c r="J37" s="51">
        <v>160100</v>
      </c>
      <c r="K37" s="56" t="s">
        <v>203</v>
      </c>
    </row>
    <row r="38" spans="2:11" ht="18" customHeight="1" x14ac:dyDescent="0.25">
      <c r="B38" s="43">
        <v>46241</v>
      </c>
      <c r="C38" s="42" t="s">
        <v>127</v>
      </c>
      <c r="D38" s="52" t="s">
        <v>146</v>
      </c>
      <c r="E38" s="52" t="s">
        <v>204</v>
      </c>
      <c r="F38" s="53">
        <v>212</v>
      </c>
      <c r="G38" s="54">
        <v>0.19</v>
      </c>
      <c r="H38" s="55">
        <f t="shared" si="0"/>
        <v>40.28</v>
      </c>
      <c r="I38" s="55">
        <f t="shared" si="1"/>
        <v>252.28</v>
      </c>
      <c r="J38" s="45">
        <v>21100</v>
      </c>
      <c r="K38" s="52" t="s">
        <v>205</v>
      </c>
    </row>
    <row r="39" spans="2:11" ht="18" customHeight="1" x14ac:dyDescent="0.25">
      <c r="B39" s="49">
        <v>46253</v>
      </c>
      <c r="C39" s="48" t="s">
        <v>79</v>
      </c>
      <c r="D39" s="56" t="s">
        <v>159</v>
      </c>
      <c r="E39" s="56" t="s">
        <v>160</v>
      </c>
      <c r="F39" s="57">
        <v>614</v>
      </c>
      <c r="G39" s="58">
        <v>0.19</v>
      </c>
      <c r="H39" s="59">
        <f t="shared" si="0"/>
        <v>116.66</v>
      </c>
      <c r="I39" s="59">
        <f t="shared" si="1"/>
        <v>730.66</v>
      </c>
      <c r="J39" s="51">
        <v>30400</v>
      </c>
      <c r="K39" s="56" t="s">
        <v>206</v>
      </c>
    </row>
    <row r="40" spans="2:11" ht="18" customHeight="1" x14ac:dyDescent="0.25">
      <c r="B40" s="43">
        <v>46267</v>
      </c>
      <c r="C40" s="42" t="s">
        <v>100</v>
      </c>
      <c r="D40" s="52" t="s">
        <v>141</v>
      </c>
      <c r="E40" s="52" t="s">
        <v>68</v>
      </c>
      <c r="F40" s="53">
        <v>139.9</v>
      </c>
      <c r="G40" s="54">
        <v>0.19</v>
      </c>
      <c r="H40" s="55">
        <f t="shared" si="0"/>
        <v>26.581000000000003</v>
      </c>
      <c r="I40" s="55">
        <f t="shared" si="1"/>
        <v>166.48099999999999</v>
      </c>
      <c r="J40" s="45">
        <v>93000</v>
      </c>
      <c r="K40" s="52" t="s">
        <v>207</v>
      </c>
    </row>
    <row r="41" spans="2:11" ht="18" customHeight="1" x14ac:dyDescent="0.25">
      <c r="B41" s="49">
        <v>46276</v>
      </c>
      <c r="C41" s="48" t="s">
        <v>118</v>
      </c>
      <c r="D41" s="56" t="s">
        <v>208</v>
      </c>
      <c r="E41" s="56" t="s">
        <v>209</v>
      </c>
      <c r="F41" s="57">
        <v>95</v>
      </c>
      <c r="G41" s="58">
        <v>0.19</v>
      </c>
      <c r="H41" s="59">
        <f t="shared" si="0"/>
        <v>18.05</v>
      </c>
      <c r="I41" s="59">
        <f t="shared" si="1"/>
        <v>113.05</v>
      </c>
      <c r="J41" s="51">
        <v>75300</v>
      </c>
      <c r="K41" s="56" t="s">
        <v>210</v>
      </c>
    </row>
    <row r="42" spans="2:11" ht="18" customHeight="1" x14ac:dyDescent="0.25">
      <c r="B42" s="43"/>
      <c r="C42" s="42"/>
      <c r="D42" s="52"/>
      <c r="E42" s="52"/>
      <c r="F42" s="53"/>
      <c r="G42" s="54">
        <v>0.19</v>
      </c>
      <c r="H42" s="55" t="str">
        <f t="shared" ref="H42:H55" si="2">IF(F42="","",F42*G42)</f>
        <v/>
      </c>
      <c r="I42" s="55" t="str">
        <f t="shared" ref="I42:I55" si="3">IF(F42="","",F42+H42)</f>
        <v/>
      </c>
      <c r="J42" s="45"/>
      <c r="K42" s="52"/>
    </row>
    <row r="43" spans="2:11" ht="18" customHeight="1" x14ac:dyDescent="0.25">
      <c r="B43" s="49"/>
      <c r="C43" s="48"/>
      <c r="D43" s="56"/>
      <c r="E43" s="56"/>
      <c r="F43" s="57"/>
      <c r="G43" s="58">
        <v>0.19</v>
      </c>
      <c r="H43" s="59" t="str">
        <f t="shared" si="2"/>
        <v/>
      </c>
      <c r="I43" s="59" t="str">
        <f t="shared" si="3"/>
        <v/>
      </c>
      <c r="J43" s="51"/>
      <c r="K43" s="56"/>
    </row>
    <row r="44" spans="2:11" ht="18" customHeight="1" x14ac:dyDescent="0.25">
      <c r="B44" s="43"/>
      <c r="C44" s="42"/>
      <c r="D44" s="52"/>
      <c r="E44" s="52"/>
      <c r="F44" s="53"/>
      <c r="G44" s="54">
        <v>0.19</v>
      </c>
      <c r="H44" s="55" t="str">
        <f t="shared" si="2"/>
        <v/>
      </c>
      <c r="I44" s="55" t="str">
        <f t="shared" si="3"/>
        <v/>
      </c>
      <c r="J44" s="45"/>
      <c r="K44" s="52"/>
    </row>
    <row r="45" spans="2:11" ht="18" customHeight="1" x14ac:dyDescent="0.25">
      <c r="B45" s="49"/>
      <c r="C45" s="48"/>
      <c r="D45" s="56"/>
      <c r="E45" s="56"/>
      <c r="F45" s="57"/>
      <c r="G45" s="58">
        <v>0.19</v>
      </c>
      <c r="H45" s="59" t="str">
        <f t="shared" si="2"/>
        <v/>
      </c>
      <c r="I45" s="59" t="str">
        <f t="shared" si="3"/>
        <v/>
      </c>
      <c r="J45" s="51"/>
      <c r="K45" s="56"/>
    </row>
    <row r="46" spans="2:11" ht="18" customHeight="1" x14ac:dyDescent="0.25">
      <c r="B46" s="43"/>
      <c r="C46" s="42"/>
      <c r="D46" s="52"/>
      <c r="E46" s="52"/>
      <c r="F46" s="53"/>
      <c r="G46" s="54">
        <v>0.19</v>
      </c>
      <c r="H46" s="55" t="str">
        <f t="shared" si="2"/>
        <v/>
      </c>
      <c r="I46" s="55" t="str">
        <f t="shared" si="3"/>
        <v/>
      </c>
      <c r="J46" s="45"/>
      <c r="K46" s="52"/>
    </row>
    <row r="47" spans="2:11" ht="18" customHeight="1" x14ac:dyDescent="0.25">
      <c r="B47" s="49"/>
      <c r="C47" s="48"/>
      <c r="D47" s="56"/>
      <c r="E47" s="56"/>
      <c r="F47" s="57"/>
      <c r="G47" s="58">
        <v>0.19</v>
      </c>
      <c r="H47" s="59" t="str">
        <f t="shared" si="2"/>
        <v/>
      </c>
      <c r="I47" s="59" t="str">
        <f t="shared" si="3"/>
        <v/>
      </c>
      <c r="J47" s="51"/>
      <c r="K47" s="56"/>
    </row>
    <row r="48" spans="2:11" ht="18" customHeight="1" x14ac:dyDescent="0.25">
      <c r="B48" s="43"/>
      <c r="C48" s="42"/>
      <c r="D48" s="52"/>
      <c r="E48" s="52"/>
      <c r="F48" s="53"/>
      <c r="G48" s="54">
        <v>0.19</v>
      </c>
      <c r="H48" s="55" t="str">
        <f t="shared" si="2"/>
        <v/>
      </c>
      <c r="I48" s="55" t="str">
        <f t="shared" si="3"/>
        <v/>
      </c>
      <c r="J48" s="45"/>
      <c r="K48" s="52"/>
    </row>
    <row r="49" spans="2:11" ht="18" customHeight="1" x14ac:dyDescent="0.25">
      <c r="B49" s="49"/>
      <c r="C49" s="48"/>
      <c r="D49" s="56"/>
      <c r="E49" s="56"/>
      <c r="F49" s="57"/>
      <c r="G49" s="58">
        <v>0.19</v>
      </c>
      <c r="H49" s="59" t="str">
        <f t="shared" si="2"/>
        <v/>
      </c>
      <c r="I49" s="59" t="str">
        <f t="shared" si="3"/>
        <v/>
      </c>
      <c r="J49" s="51"/>
      <c r="K49" s="56"/>
    </row>
    <row r="50" spans="2:11" ht="18" customHeight="1" x14ac:dyDescent="0.25">
      <c r="B50" s="43"/>
      <c r="C50" s="42"/>
      <c r="D50" s="52"/>
      <c r="E50" s="52"/>
      <c r="F50" s="53"/>
      <c r="G50" s="54">
        <v>0.19</v>
      </c>
      <c r="H50" s="55" t="str">
        <f t="shared" si="2"/>
        <v/>
      </c>
      <c r="I50" s="55" t="str">
        <f t="shared" si="3"/>
        <v/>
      </c>
      <c r="J50" s="45"/>
      <c r="K50" s="52"/>
    </row>
    <row r="51" spans="2:11" ht="18" customHeight="1" x14ac:dyDescent="0.25">
      <c r="B51" s="49"/>
      <c r="C51" s="48"/>
      <c r="D51" s="56"/>
      <c r="E51" s="56"/>
      <c r="F51" s="57"/>
      <c r="G51" s="58">
        <v>0.19</v>
      </c>
      <c r="H51" s="59" t="str">
        <f t="shared" si="2"/>
        <v/>
      </c>
      <c r="I51" s="59" t="str">
        <f t="shared" si="3"/>
        <v/>
      </c>
      <c r="J51" s="51"/>
      <c r="K51" s="56"/>
    </row>
    <row r="52" spans="2:11" ht="18" customHeight="1" x14ac:dyDescent="0.25">
      <c r="B52" s="43"/>
      <c r="C52" s="42"/>
      <c r="D52" s="52"/>
      <c r="E52" s="52"/>
      <c r="F52" s="53"/>
      <c r="G52" s="54">
        <v>0.19</v>
      </c>
      <c r="H52" s="55" t="str">
        <f t="shared" si="2"/>
        <v/>
      </c>
      <c r="I52" s="55" t="str">
        <f t="shared" si="3"/>
        <v/>
      </c>
      <c r="J52" s="45"/>
      <c r="K52" s="52"/>
    </row>
    <row r="53" spans="2:11" ht="18" customHeight="1" x14ac:dyDescent="0.25">
      <c r="B53" s="49"/>
      <c r="C53" s="48"/>
      <c r="D53" s="56"/>
      <c r="E53" s="56"/>
      <c r="F53" s="57"/>
      <c r="G53" s="58">
        <v>0.19</v>
      </c>
      <c r="H53" s="59" t="str">
        <f t="shared" si="2"/>
        <v/>
      </c>
      <c r="I53" s="59" t="str">
        <f t="shared" si="3"/>
        <v/>
      </c>
      <c r="J53" s="51"/>
      <c r="K53" s="56"/>
    </row>
    <row r="54" spans="2:11" ht="18" customHeight="1" x14ac:dyDescent="0.25">
      <c r="B54" s="43"/>
      <c r="C54" s="42"/>
      <c r="D54" s="52"/>
      <c r="E54" s="52"/>
      <c r="F54" s="53"/>
      <c r="G54" s="54">
        <v>0.19</v>
      </c>
      <c r="H54" s="55" t="str">
        <f t="shared" si="2"/>
        <v/>
      </c>
      <c r="I54" s="55" t="str">
        <f t="shared" si="3"/>
        <v/>
      </c>
      <c r="J54" s="45"/>
      <c r="K54" s="52"/>
    </row>
    <row r="55" spans="2:11" ht="18" customHeight="1" x14ac:dyDescent="0.25">
      <c r="B55" s="49"/>
      <c r="C55" s="48"/>
      <c r="D55" s="56"/>
      <c r="E55" s="56"/>
      <c r="F55" s="57"/>
      <c r="G55" s="58">
        <v>0.19</v>
      </c>
      <c r="H55" s="59" t="str">
        <f t="shared" si="2"/>
        <v/>
      </c>
      <c r="I55" s="59" t="str">
        <f t="shared" si="3"/>
        <v/>
      </c>
      <c r="J55" s="51"/>
      <c r="K55" s="56"/>
    </row>
    <row r="56" spans="2:11" ht="19.5" customHeight="1" x14ac:dyDescent="0.25">
      <c r="B56" s="60"/>
      <c r="C56" s="60"/>
      <c r="D56" s="60"/>
      <c r="E56" s="61" t="s">
        <v>211</v>
      </c>
      <c r="F56" s="62">
        <f>SUM(F6:F55)</f>
        <v>9379.0999999999985</v>
      </c>
      <c r="G56" s="60"/>
      <c r="H56" s="62">
        <f>SUM(H6:H55)</f>
        <v>1578.3489999999999</v>
      </c>
      <c r="I56" s="62">
        <f>SUM(I6:I55)</f>
        <v>10957.448999999997</v>
      </c>
      <c r="J56" s="60"/>
      <c r="K56" s="60"/>
    </row>
  </sheetData>
  <autoFilter ref="B5:K55" xr:uid="{00000000-0009-0000-0000-000002000000}"/>
  <mergeCells count="2">
    <mergeCell ref="B2:K2"/>
    <mergeCell ref="B3:K3"/>
  </mergeCells>
  <printOptions horizontalCentered="1"/>
  <pageMargins left="0.75" right="0.75" top="1" bottom="1" header="0.511811023622047" footer="0.511811023622047"/>
  <pageSetup fitToHeight="0" orientation="landscape" horizontalDpi="300" verticalDpi="300"/>
  <extLst>
    <ext xmlns:x14="http://schemas.microsoft.com/office/spreadsheetml/2009/9/main" uri="{CCE6A557-97BC-4b89-ADB6-D9C93CAAB3DF}">
      <x14:dataValidations xmlns:xm="http://schemas.microsoft.com/office/excel/2006/main" count="3">
        <x14:dataValidation type="list" allowBlank="1" xr:uid="{00000000-0002-0000-0200-000000000000}">
          <x14:formula1>
            <xm:f>Flotte!$B$6:$B$23</xm:f>
          </x14:formula1>
          <x14:formula2>
            <xm:f>0</xm:f>
          </x14:formula2>
          <xm:sqref>C6:C55</xm:sqref>
        </x14:dataValidation>
        <x14:dataValidation type="list" allowBlank="1" xr:uid="{00000000-0002-0000-0200-000001000000}">
          <x14:formula1>
            <xm:f>Listen!$E$3:$E$11</xm:f>
          </x14:formula1>
          <x14:formula2>
            <xm:f>0</xm:f>
          </x14:formula2>
          <xm:sqref>D6:D55</xm:sqref>
        </x14:dataValidation>
        <x14:dataValidation type="list" allowBlank="1" xr:uid="{00000000-0002-0000-0200-000002000000}">
          <x14:formula1>
            <xm:f>Listen!$G$3:$G$5</xm:f>
          </x14:formula1>
          <x14:formula2>
            <xm:f>0</xm:f>
          </x14:formula2>
          <xm:sqref>G6:G55</xm:sqref>
        </x14:dataValidation>
      </x14:dataValidations>
    </ext>
  </extLst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tabColor rgb="FFB4894C"/>
    <pageSetUpPr fitToPage="1"/>
  </sheetPr>
  <dimension ref="B2:J27"/>
  <sheetViews>
    <sheetView showGridLines="0" zoomScaleNormal="100" workbookViewId="0">
      <pane xSplit="1" ySplit="5" topLeftCell="B6" activePane="bottomRight" state="frozen"/>
      <selection pane="topRight" activeCell="B1" sqref="B1"/>
      <selection pane="bottomLeft" activeCell="A6" sqref="A6"/>
      <selection pane="bottomRight"/>
    </sheetView>
  </sheetViews>
  <sheetFormatPr baseColWidth="10" defaultColWidth="8.7109375" defaultRowHeight="15" x14ac:dyDescent="0.25"/>
  <cols>
    <col min="1" max="1" width="2" customWidth="1"/>
    <col min="2" max="2" width="12" customWidth="1"/>
    <col min="3" max="3" width="26" customWidth="1"/>
    <col min="4" max="4" width="13" customWidth="1"/>
    <col min="5" max="5" width="10" customWidth="1"/>
    <col min="6" max="7" width="13" customWidth="1"/>
    <col min="8" max="8" width="26" customWidth="1"/>
    <col min="10" max="10" width="13" hidden="1" customWidth="1"/>
  </cols>
  <sheetData>
    <row r="2" spans="2:10" ht="25.5" customHeight="1" x14ac:dyDescent="0.25">
      <c r="B2" s="92" t="s">
        <v>212</v>
      </c>
      <c r="C2" s="92"/>
      <c r="D2" s="92"/>
      <c r="E2" s="92"/>
      <c r="F2" s="92"/>
      <c r="G2" s="92"/>
      <c r="H2" s="92"/>
    </row>
    <row r="3" spans="2:10" x14ac:dyDescent="0.25">
      <c r="B3" s="93" t="s">
        <v>213</v>
      </c>
      <c r="C3" s="93"/>
      <c r="D3" s="93"/>
      <c r="E3" s="93"/>
      <c r="F3" s="93"/>
      <c r="G3" s="93"/>
      <c r="H3" s="93"/>
    </row>
    <row r="5" spans="2:10" ht="24" customHeight="1" x14ac:dyDescent="0.25">
      <c r="B5" s="29" t="s">
        <v>24</v>
      </c>
      <c r="C5" s="29" t="s">
        <v>25</v>
      </c>
      <c r="D5" s="29" t="s">
        <v>214</v>
      </c>
      <c r="E5" s="29" t="s">
        <v>26</v>
      </c>
      <c r="F5" s="29" t="s">
        <v>215</v>
      </c>
      <c r="G5" s="29" t="s">
        <v>216</v>
      </c>
      <c r="H5" s="29" t="s">
        <v>217</v>
      </c>
    </row>
    <row r="6" spans="2:10" ht="18.75" customHeight="1" x14ac:dyDescent="0.25">
      <c r="B6" s="40" t="s">
        <v>63</v>
      </c>
      <c r="C6" s="52" t="s">
        <v>45</v>
      </c>
      <c r="D6" s="43">
        <f ca="1">TODAY()+(17)</f>
        <v>46312</v>
      </c>
      <c r="E6" s="63">
        <f t="shared" ref="E6:E27" ca="1" si="0">IF(D6="","",D6-TODAY())</f>
        <v>17</v>
      </c>
      <c r="F6" s="64" t="str">
        <f t="shared" ref="F6:F27" ca="1" si="1">IF(D6="","",IF(E6&lt;0,"Überfällig",IF(E6&lt;=30,"Bald fällig","OK")))</f>
        <v>Bald fällig</v>
      </c>
      <c r="G6" s="42"/>
      <c r="H6" s="52" t="s">
        <v>218</v>
      </c>
      <c r="J6" s="65">
        <f t="shared" ref="J6:J27" ca="1" si="2">IF(D6="",9^9,E6+(ROW()-6)/100000)</f>
        <v>17</v>
      </c>
    </row>
    <row r="7" spans="2:10" ht="18.75" customHeight="1" x14ac:dyDescent="0.25">
      <c r="B7" s="46" t="s">
        <v>63</v>
      </c>
      <c r="C7" s="56" t="s">
        <v>219</v>
      </c>
      <c r="D7" s="49">
        <f ca="1">TODAY()+(-6)</f>
        <v>46289</v>
      </c>
      <c r="E7" s="66">
        <f t="shared" ca="1" si="0"/>
        <v>-6</v>
      </c>
      <c r="F7" s="67" t="str">
        <f t="shared" ca="1" si="1"/>
        <v>Überfällig</v>
      </c>
      <c r="G7" s="49">
        <f ca="1">TODAY()+(-724)</f>
        <v>45571</v>
      </c>
      <c r="H7" s="56" t="s">
        <v>220</v>
      </c>
      <c r="J7" s="65">
        <f t="shared" ca="1" si="2"/>
        <v>-5.9999900000000004</v>
      </c>
    </row>
    <row r="8" spans="2:10" ht="18.75" customHeight="1" x14ac:dyDescent="0.25">
      <c r="B8" s="40" t="s">
        <v>87</v>
      </c>
      <c r="C8" s="52" t="s">
        <v>221</v>
      </c>
      <c r="D8" s="43">
        <f ca="1">TODAY()+(-2)</f>
        <v>46293</v>
      </c>
      <c r="E8" s="63">
        <f t="shared" ca="1" si="0"/>
        <v>-2</v>
      </c>
      <c r="F8" s="64" t="str">
        <f t="shared" ca="1" si="1"/>
        <v>Überfällig</v>
      </c>
      <c r="G8" s="43">
        <f ca="1">TODAY()+(-363)</f>
        <v>45932</v>
      </c>
      <c r="H8" s="52" t="s">
        <v>222</v>
      </c>
      <c r="J8" s="65">
        <f t="shared" ca="1" si="2"/>
        <v>-1.9999800000000001</v>
      </c>
    </row>
    <row r="9" spans="2:10" ht="18.75" customHeight="1" x14ac:dyDescent="0.25">
      <c r="B9" s="46" t="s">
        <v>100</v>
      </c>
      <c r="C9" s="56" t="s">
        <v>45</v>
      </c>
      <c r="D9" s="49">
        <f ca="1">TODAY()+(25)</f>
        <v>46320</v>
      </c>
      <c r="E9" s="66">
        <f t="shared" ca="1" si="0"/>
        <v>25</v>
      </c>
      <c r="F9" s="67" t="str">
        <f t="shared" ca="1" si="1"/>
        <v>Bald fällig</v>
      </c>
      <c r="G9" s="48"/>
      <c r="H9" s="56" t="s">
        <v>223</v>
      </c>
      <c r="J9" s="65">
        <f t="shared" ca="1" si="2"/>
        <v>25.000029999999999</v>
      </c>
    </row>
    <row r="10" spans="2:10" ht="18.75" customHeight="1" x14ac:dyDescent="0.25">
      <c r="B10" s="40" t="s">
        <v>100</v>
      </c>
      <c r="C10" s="52" t="s">
        <v>192</v>
      </c>
      <c r="D10" s="43">
        <f ca="1">TODAY()+(58)</f>
        <v>46353</v>
      </c>
      <c r="E10" s="63">
        <f t="shared" ca="1" si="0"/>
        <v>58</v>
      </c>
      <c r="F10" s="64" t="str">
        <f t="shared" ca="1" si="1"/>
        <v>OK</v>
      </c>
      <c r="G10" s="43">
        <f ca="1">TODAY()+(-307)</f>
        <v>45988</v>
      </c>
      <c r="H10" s="52" t="s">
        <v>224</v>
      </c>
      <c r="J10" s="65">
        <f t="shared" ca="1" si="2"/>
        <v>58.000039999999998</v>
      </c>
    </row>
    <row r="11" spans="2:10" ht="18.75" customHeight="1" x14ac:dyDescent="0.25">
      <c r="B11" s="46" t="s">
        <v>118</v>
      </c>
      <c r="C11" s="56" t="s">
        <v>219</v>
      </c>
      <c r="D11" s="49">
        <f ca="1">TODAY()+(8)</f>
        <v>46303</v>
      </c>
      <c r="E11" s="66">
        <f t="shared" ca="1" si="0"/>
        <v>8</v>
      </c>
      <c r="F11" s="67" t="str">
        <f t="shared" ca="1" si="1"/>
        <v>Bald fällig</v>
      </c>
      <c r="G11" s="49">
        <f ca="1">TODAY()+(-720)</f>
        <v>45575</v>
      </c>
      <c r="H11" s="56" t="s">
        <v>220</v>
      </c>
      <c r="J11" s="65">
        <f t="shared" ca="1" si="2"/>
        <v>8.0000499999999999</v>
      </c>
    </row>
    <row r="12" spans="2:10" ht="18.75" customHeight="1" x14ac:dyDescent="0.25">
      <c r="B12" s="40" t="s">
        <v>79</v>
      </c>
      <c r="C12" s="52" t="s">
        <v>225</v>
      </c>
      <c r="D12" s="43">
        <f ca="1">TODAY()+(73)</f>
        <v>46368</v>
      </c>
      <c r="E12" s="63">
        <f t="shared" ca="1" si="0"/>
        <v>73</v>
      </c>
      <c r="F12" s="64" t="str">
        <f t="shared" ca="1" si="1"/>
        <v>OK</v>
      </c>
      <c r="G12" s="43">
        <f ca="1">TODAY()+(-108)</f>
        <v>46187</v>
      </c>
      <c r="H12" s="52" t="s">
        <v>226</v>
      </c>
      <c r="J12" s="65">
        <f t="shared" ca="1" si="2"/>
        <v>73.000060000000005</v>
      </c>
    </row>
    <row r="13" spans="2:10" ht="18.75" customHeight="1" x14ac:dyDescent="0.25">
      <c r="B13" s="46" t="s">
        <v>53</v>
      </c>
      <c r="C13" s="56" t="s">
        <v>227</v>
      </c>
      <c r="D13" s="49">
        <f ca="1">TODAY()+(21)</f>
        <v>46316</v>
      </c>
      <c r="E13" s="66">
        <f t="shared" ca="1" si="0"/>
        <v>21</v>
      </c>
      <c r="F13" s="67" t="str">
        <f t="shared" ca="1" si="1"/>
        <v>Bald fällig</v>
      </c>
      <c r="G13" s="49">
        <f ca="1">TODAY()+(-165)</f>
        <v>46130</v>
      </c>
      <c r="H13" s="56" t="s">
        <v>228</v>
      </c>
      <c r="J13" s="65">
        <f t="shared" ca="1" si="2"/>
        <v>21.000070000000001</v>
      </c>
    </row>
    <row r="14" spans="2:10" ht="18.75" customHeight="1" x14ac:dyDescent="0.25">
      <c r="B14" s="40" t="s">
        <v>112</v>
      </c>
      <c r="C14" s="52" t="s">
        <v>221</v>
      </c>
      <c r="D14" s="43">
        <f ca="1">TODAY()+(132)</f>
        <v>46427</v>
      </c>
      <c r="E14" s="63">
        <f t="shared" ca="1" si="0"/>
        <v>132</v>
      </c>
      <c r="F14" s="64" t="str">
        <f t="shared" ca="1" si="1"/>
        <v>OK</v>
      </c>
      <c r="G14" s="43">
        <f ca="1">TODAY()+(-233)</f>
        <v>46062</v>
      </c>
      <c r="H14" s="52" t="s">
        <v>224</v>
      </c>
      <c r="J14" s="65">
        <f t="shared" ca="1" si="2"/>
        <v>132.00008</v>
      </c>
    </row>
    <row r="15" spans="2:10" ht="18.75" customHeight="1" x14ac:dyDescent="0.25">
      <c r="B15" s="46" t="s">
        <v>94</v>
      </c>
      <c r="C15" s="56" t="s">
        <v>219</v>
      </c>
      <c r="D15" s="49">
        <f ca="1">TODAY()+(-14)</f>
        <v>46281</v>
      </c>
      <c r="E15" s="66">
        <f t="shared" ca="1" si="0"/>
        <v>-14</v>
      </c>
      <c r="F15" s="67" t="str">
        <f t="shared" ca="1" si="1"/>
        <v>Überfällig</v>
      </c>
      <c r="G15" s="49">
        <f ca="1">TODAY()+(-744)</f>
        <v>45551</v>
      </c>
      <c r="H15" s="56" t="s">
        <v>229</v>
      </c>
      <c r="J15" s="65">
        <f t="shared" ca="1" si="2"/>
        <v>-13.99991</v>
      </c>
    </row>
    <row r="16" spans="2:10" ht="18.75" customHeight="1" x14ac:dyDescent="0.25">
      <c r="B16" s="40" t="s">
        <v>106</v>
      </c>
      <c r="C16" s="52" t="s">
        <v>45</v>
      </c>
      <c r="D16" s="43">
        <f ca="1">TODAY()+(29)</f>
        <v>46324</v>
      </c>
      <c r="E16" s="63">
        <f t="shared" ca="1" si="0"/>
        <v>29</v>
      </c>
      <c r="F16" s="64" t="str">
        <f t="shared" ca="1" si="1"/>
        <v>Bald fällig</v>
      </c>
      <c r="G16" s="42"/>
      <c r="H16" s="52" t="s">
        <v>218</v>
      </c>
      <c r="J16" s="65">
        <f t="shared" ca="1" si="2"/>
        <v>29.0001</v>
      </c>
    </row>
    <row r="17" spans="2:10" ht="18.75" customHeight="1" x14ac:dyDescent="0.25">
      <c r="B17" s="46" t="s">
        <v>127</v>
      </c>
      <c r="C17" s="56" t="s">
        <v>192</v>
      </c>
      <c r="D17" s="49">
        <f ca="1">TODAY()+(96)</f>
        <v>46391</v>
      </c>
      <c r="E17" s="66">
        <f t="shared" ca="1" si="0"/>
        <v>96</v>
      </c>
      <c r="F17" s="67" t="str">
        <f t="shared" ca="1" si="1"/>
        <v>OK</v>
      </c>
      <c r="G17" s="49">
        <f ca="1">TODAY()+(-269)</f>
        <v>46026</v>
      </c>
      <c r="H17" s="56" t="s">
        <v>224</v>
      </c>
      <c r="J17" s="65">
        <f t="shared" ca="1" si="2"/>
        <v>96.000110000000006</v>
      </c>
    </row>
    <row r="18" spans="2:10" ht="18.75" customHeight="1" x14ac:dyDescent="0.25">
      <c r="B18" s="40" t="s">
        <v>79</v>
      </c>
      <c r="C18" s="52" t="s">
        <v>151</v>
      </c>
      <c r="D18" s="43">
        <f ca="1">TODAY()+(4)</f>
        <v>46299</v>
      </c>
      <c r="E18" s="63">
        <f t="shared" ca="1" si="0"/>
        <v>4</v>
      </c>
      <c r="F18" s="64" t="str">
        <f t="shared" ca="1" si="1"/>
        <v>Bald fällig</v>
      </c>
      <c r="G18" s="43">
        <f ca="1">TODAY()+(-88)</f>
        <v>46207</v>
      </c>
      <c r="H18" s="52" t="s">
        <v>230</v>
      </c>
      <c r="J18" s="65">
        <f t="shared" ca="1" si="2"/>
        <v>4.0001199999999999</v>
      </c>
    </row>
    <row r="19" spans="2:10" ht="18.75" customHeight="1" x14ac:dyDescent="0.25">
      <c r="B19" s="46" t="s">
        <v>71</v>
      </c>
      <c r="C19" s="56" t="s">
        <v>192</v>
      </c>
      <c r="D19" s="49">
        <f ca="1">TODAY()+(188)</f>
        <v>46483</v>
      </c>
      <c r="E19" s="66">
        <f t="shared" ca="1" si="0"/>
        <v>188</v>
      </c>
      <c r="F19" s="67" t="str">
        <f t="shared" ca="1" si="1"/>
        <v>OK</v>
      </c>
      <c r="G19" s="49">
        <f ca="1">TODAY()+(-177)</f>
        <v>46118</v>
      </c>
      <c r="H19" s="56" t="s">
        <v>224</v>
      </c>
      <c r="J19" s="65">
        <f t="shared" ca="1" si="2"/>
        <v>188.00013000000001</v>
      </c>
    </row>
    <row r="20" spans="2:10" ht="18.75" customHeight="1" x14ac:dyDescent="0.25">
      <c r="B20" s="40" t="s">
        <v>112</v>
      </c>
      <c r="C20" s="52" t="s">
        <v>227</v>
      </c>
      <c r="D20" s="43">
        <f ca="1">TODAY()+(40)</f>
        <v>46335</v>
      </c>
      <c r="E20" s="63">
        <f t="shared" ca="1" si="0"/>
        <v>40</v>
      </c>
      <c r="F20" s="64" t="str">
        <f t="shared" ca="1" si="1"/>
        <v>OK</v>
      </c>
      <c r="G20" s="43">
        <f ca="1">TODAY()+(-145)</f>
        <v>46150</v>
      </c>
      <c r="H20" s="52" t="s">
        <v>228</v>
      </c>
      <c r="J20" s="65">
        <f t="shared" ca="1" si="2"/>
        <v>40.000140000000002</v>
      </c>
    </row>
    <row r="21" spans="2:10" ht="18.75" customHeight="1" x14ac:dyDescent="0.25">
      <c r="B21" s="46" t="s">
        <v>87</v>
      </c>
      <c r="C21" s="56" t="s">
        <v>45</v>
      </c>
      <c r="D21" s="49">
        <f ca="1">TODAY()+(210)</f>
        <v>46505</v>
      </c>
      <c r="E21" s="66">
        <f t="shared" ca="1" si="0"/>
        <v>210</v>
      </c>
      <c r="F21" s="67" t="str">
        <f t="shared" ca="1" si="1"/>
        <v>OK</v>
      </c>
      <c r="G21" s="48"/>
      <c r="H21" s="56" t="s">
        <v>223</v>
      </c>
      <c r="J21" s="65">
        <f t="shared" ca="1" si="2"/>
        <v>210.00014999999999</v>
      </c>
    </row>
    <row r="22" spans="2:10" ht="18.75" customHeight="1" x14ac:dyDescent="0.25">
      <c r="B22" s="40"/>
      <c r="C22" s="52"/>
      <c r="D22" s="43"/>
      <c r="E22" s="63" t="str">
        <f t="shared" ca="1" si="0"/>
        <v/>
      </c>
      <c r="F22" s="64" t="str">
        <f t="shared" si="1"/>
        <v/>
      </c>
      <c r="G22" s="43"/>
      <c r="H22" s="52"/>
      <c r="J22" s="65">
        <f t="shared" si="2"/>
        <v>387420489</v>
      </c>
    </row>
    <row r="23" spans="2:10" ht="18.75" customHeight="1" x14ac:dyDescent="0.25">
      <c r="B23" s="46"/>
      <c r="C23" s="56"/>
      <c r="D23" s="49"/>
      <c r="E23" s="66" t="str">
        <f t="shared" ca="1" si="0"/>
        <v/>
      </c>
      <c r="F23" s="67" t="str">
        <f t="shared" si="1"/>
        <v/>
      </c>
      <c r="G23" s="49"/>
      <c r="H23" s="56"/>
      <c r="J23" s="65">
        <f t="shared" si="2"/>
        <v>387420489</v>
      </c>
    </row>
    <row r="24" spans="2:10" ht="18.75" customHeight="1" x14ac:dyDescent="0.25">
      <c r="B24" s="40"/>
      <c r="C24" s="52"/>
      <c r="D24" s="43"/>
      <c r="E24" s="63" t="str">
        <f t="shared" ca="1" si="0"/>
        <v/>
      </c>
      <c r="F24" s="64" t="str">
        <f t="shared" si="1"/>
        <v/>
      </c>
      <c r="G24" s="43"/>
      <c r="H24" s="52"/>
      <c r="J24" s="65">
        <f t="shared" si="2"/>
        <v>387420489</v>
      </c>
    </row>
    <row r="25" spans="2:10" ht="18.75" customHeight="1" x14ac:dyDescent="0.25">
      <c r="B25" s="46"/>
      <c r="C25" s="56"/>
      <c r="D25" s="49"/>
      <c r="E25" s="66" t="str">
        <f t="shared" ca="1" si="0"/>
        <v/>
      </c>
      <c r="F25" s="67" t="str">
        <f t="shared" si="1"/>
        <v/>
      </c>
      <c r="G25" s="49"/>
      <c r="H25" s="56"/>
      <c r="J25" s="65">
        <f t="shared" si="2"/>
        <v>387420489</v>
      </c>
    </row>
    <row r="26" spans="2:10" ht="18.75" customHeight="1" x14ac:dyDescent="0.25">
      <c r="B26" s="40"/>
      <c r="C26" s="52"/>
      <c r="D26" s="43"/>
      <c r="E26" s="63" t="str">
        <f t="shared" ca="1" si="0"/>
        <v/>
      </c>
      <c r="F26" s="64" t="str">
        <f t="shared" si="1"/>
        <v/>
      </c>
      <c r="G26" s="43"/>
      <c r="H26" s="52"/>
      <c r="J26" s="65">
        <f t="shared" si="2"/>
        <v>387420489</v>
      </c>
    </row>
    <row r="27" spans="2:10" ht="18.75" customHeight="1" x14ac:dyDescent="0.25">
      <c r="B27" s="46"/>
      <c r="C27" s="56"/>
      <c r="D27" s="49"/>
      <c r="E27" s="66" t="str">
        <f t="shared" ca="1" si="0"/>
        <v/>
      </c>
      <c r="F27" s="67" t="str">
        <f t="shared" si="1"/>
        <v/>
      </c>
      <c r="G27" s="49"/>
      <c r="H27" s="56"/>
      <c r="J27" s="65">
        <f t="shared" si="2"/>
        <v>387420489</v>
      </c>
    </row>
  </sheetData>
  <autoFilter ref="B5:H27" xr:uid="{00000000-0009-0000-0000-000003000000}"/>
  <mergeCells count="2">
    <mergeCell ref="B2:H2"/>
    <mergeCell ref="B3:H3"/>
  </mergeCells>
  <conditionalFormatting sqref="E6:E27">
    <cfRule type="cellIs" dxfId="4" priority="5" operator="lessThan">
      <formula>0</formula>
    </cfRule>
    <cfRule type="cellIs" dxfId="3" priority="6" operator="between">
      <formula>0</formula>
      <formula>30</formula>
    </cfRule>
  </conditionalFormatting>
  <conditionalFormatting sqref="F6:F27">
    <cfRule type="cellIs" dxfId="2" priority="2" operator="equal">
      <formula>"Überfällig"</formula>
    </cfRule>
    <cfRule type="cellIs" dxfId="1" priority="3" operator="equal">
      <formula>"Bald fällig"</formula>
    </cfRule>
    <cfRule type="cellIs" dxfId="0" priority="4" operator="equal">
      <formula>"OK"</formula>
    </cfRule>
  </conditionalFormatting>
  <printOptions horizontalCentered="1"/>
  <pageMargins left="0.75" right="0.75" top="1" bottom="1" header="0.511811023622047" footer="0.511811023622047"/>
  <pageSetup fitToHeight="0" orientation="landscape" horizontalDpi="300" verticalDpi="300"/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xr:uid="{00000000-0002-0000-0300-000000000000}">
          <x14:formula1>
            <xm:f>Flotte!$B$6:$B$23</xm:f>
          </x14:formula1>
          <x14:formula2>
            <xm:f>0</xm:f>
          </x14:formula2>
          <xm:sqref>B6:B27</xm:sqref>
        </x14:dataValidation>
        <x14:dataValidation type="list" allowBlank="1" xr:uid="{00000000-0002-0000-0300-000001000000}">
          <x14:formula1>
            <xm:f>Listen!$F$3:$F$9</xm:f>
          </x14:formula1>
          <x14:formula2>
            <xm:f>0</xm:f>
          </x14:formula2>
          <xm:sqref>C6:C27</xm:sqref>
        </x14:dataValidation>
      </x14:dataValidations>
    </ext>
  </extLst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tabColor rgb="FF5E7C97"/>
    <pageSetUpPr fitToPage="1"/>
  </sheetPr>
  <dimension ref="B2:G67"/>
  <sheetViews>
    <sheetView showGridLines="0" zoomScaleNormal="100" workbookViewId="0"/>
  </sheetViews>
  <sheetFormatPr baseColWidth="10" defaultColWidth="8.7109375" defaultRowHeight="15" x14ac:dyDescent="0.25"/>
  <cols>
    <col min="1" max="1" width="2" customWidth="1"/>
    <col min="2" max="2" width="22" customWidth="1"/>
    <col min="3" max="7" width="15" customWidth="1"/>
  </cols>
  <sheetData>
    <row r="2" spans="2:7" ht="25.5" customHeight="1" x14ac:dyDescent="0.25">
      <c r="B2" s="92" t="s">
        <v>231</v>
      </c>
      <c r="C2" s="92"/>
      <c r="D2" s="92"/>
      <c r="E2" s="92"/>
      <c r="F2" s="92"/>
      <c r="G2" s="92"/>
    </row>
    <row r="3" spans="2:7" x14ac:dyDescent="0.25">
      <c r="B3" s="93" t="s">
        <v>232</v>
      </c>
      <c r="C3" s="93"/>
      <c r="D3" s="93"/>
      <c r="E3" s="93"/>
      <c r="F3" s="93"/>
      <c r="G3" s="93"/>
    </row>
    <row r="5" spans="2:7" ht="17.25" x14ac:dyDescent="0.3">
      <c r="B5" s="18" t="s">
        <v>19</v>
      </c>
      <c r="C5" s="19"/>
      <c r="D5" s="19"/>
    </row>
    <row r="6" spans="2:7" x14ac:dyDescent="0.25">
      <c r="B6" s="20" t="s">
        <v>233</v>
      </c>
    </row>
    <row r="7" spans="2:7" ht="19.5" customHeight="1" x14ac:dyDescent="0.25">
      <c r="B7" s="22" t="s">
        <v>24</v>
      </c>
      <c r="C7" s="22" t="s">
        <v>139</v>
      </c>
      <c r="D7" s="22" t="s">
        <v>29</v>
      </c>
    </row>
    <row r="8" spans="2:7" x14ac:dyDescent="0.25">
      <c r="B8" s="23" t="s">
        <v>53</v>
      </c>
      <c r="C8" s="33">
        <f>SUMIF(Kosten!$C$6:$C$55,B8,Kosten!$I$6:$I$55)</f>
        <v>317.49200000000002</v>
      </c>
      <c r="D8" s="68">
        <f t="shared" ref="D8:D19" si="0">IFERROR(C8/$C$20,0)</f>
        <v>2.8974992263253979E-2</v>
      </c>
    </row>
    <row r="9" spans="2:7" x14ac:dyDescent="0.25">
      <c r="B9" s="26" t="s">
        <v>63</v>
      </c>
      <c r="C9" s="38">
        <f>SUMIF(Kosten!$C$6:$C$55,B9,Kosten!$I$6:$I$55)</f>
        <v>1347.4369999999999</v>
      </c>
      <c r="D9" s="69">
        <f t="shared" si="0"/>
        <v>0.1229699540467859</v>
      </c>
    </row>
    <row r="10" spans="2:7" x14ac:dyDescent="0.25">
      <c r="B10" s="23" t="s">
        <v>71</v>
      </c>
      <c r="C10" s="33">
        <f>SUMIF(Kosten!$C$6:$C$55,B10,Kosten!$I$6:$I$55)</f>
        <v>636.91</v>
      </c>
      <c r="D10" s="68">
        <f t="shared" si="0"/>
        <v>5.812575536514019E-2</v>
      </c>
    </row>
    <row r="11" spans="2:7" x14ac:dyDescent="0.25">
      <c r="B11" s="26" t="s">
        <v>79</v>
      </c>
      <c r="C11" s="38">
        <f>SUMIF(Kosten!$C$6:$C$55,B11,Kosten!$I$6:$I$55)</f>
        <v>921.06</v>
      </c>
      <c r="D11" s="69">
        <f t="shared" si="0"/>
        <v>8.4057886101044144E-2</v>
      </c>
    </row>
    <row r="12" spans="2:7" x14ac:dyDescent="0.25">
      <c r="B12" s="23" t="s">
        <v>87</v>
      </c>
      <c r="C12" s="33">
        <f>SUMIF(Kosten!$C$6:$C$55,B12,Kosten!$I$6:$I$55)</f>
        <v>1002.4559999999999</v>
      </c>
      <c r="D12" s="68">
        <f t="shared" si="0"/>
        <v>9.1486257430903856E-2</v>
      </c>
    </row>
    <row r="13" spans="2:7" x14ac:dyDescent="0.25">
      <c r="B13" s="26" t="s">
        <v>94</v>
      </c>
      <c r="C13" s="38">
        <f>SUMIF(Kosten!$C$6:$C$55,B13,Kosten!$I$6:$I$55)</f>
        <v>1088.374</v>
      </c>
      <c r="D13" s="69">
        <f t="shared" si="0"/>
        <v>9.9327316056866899E-2</v>
      </c>
    </row>
    <row r="14" spans="2:7" x14ac:dyDescent="0.25">
      <c r="B14" s="23" t="s">
        <v>100</v>
      </c>
      <c r="C14" s="33">
        <f>SUMIF(Kosten!$C$6:$C$55,B14,Kosten!$I$6:$I$55)</f>
        <v>1481.0739999999998</v>
      </c>
      <c r="D14" s="68">
        <f t="shared" si="0"/>
        <v>0.1351659496658392</v>
      </c>
    </row>
    <row r="15" spans="2:7" x14ac:dyDescent="0.25">
      <c r="B15" s="26" t="s">
        <v>106</v>
      </c>
      <c r="C15" s="38">
        <f>SUMIF(Kosten!$C$6:$C$55,B15,Kosten!$I$6:$I$55)</f>
        <v>349.26499999999999</v>
      </c>
      <c r="D15" s="69">
        <f t="shared" si="0"/>
        <v>3.1874663527979921E-2</v>
      </c>
    </row>
    <row r="16" spans="2:7" x14ac:dyDescent="0.25">
      <c r="B16" s="23" t="s">
        <v>112</v>
      </c>
      <c r="C16" s="33">
        <f>SUMIF(Kosten!$C$6:$C$55,B16,Kosten!$I$6:$I$55)</f>
        <v>747.66000000000008</v>
      </c>
      <c r="D16" s="68">
        <f t="shared" si="0"/>
        <v>6.8233034897082351E-2</v>
      </c>
    </row>
    <row r="17" spans="2:4" x14ac:dyDescent="0.25">
      <c r="B17" s="26" t="s">
        <v>118</v>
      </c>
      <c r="C17" s="38">
        <f>SUMIF(Kosten!$C$6:$C$55,B17,Kosten!$I$6:$I$55)</f>
        <v>1945.098</v>
      </c>
      <c r="D17" s="69">
        <f t="shared" si="0"/>
        <v>0.17751376255549994</v>
      </c>
    </row>
    <row r="18" spans="2:4" x14ac:dyDescent="0.25">
      <c r="B18" s="23" t="s">
        <v>122</v>
      </c>
      <c r="C18" s="33">
        <f>SUMIF(Kosten!$C$6:$C$55,B18,Kosten!$I$6:$I$55)</f>
        <v>0</v>
      </c>
      <c r="D18" s="68">
        <f t="shared" si="0"/>
        <v>0</v>
      </c>
    </row>
    <row r="19" spans="2:4" x14ac:dyDescent="0.25">
      <c r="B19" s="26" t="s">
        <v>127</v>
      </c>
      <c r="C19" s="38">
        <f>SUMIF(Kosten!$C$6:$C$55,B19,Kosten!$I$6:$I$55)</f>
        <v>1120.623</v>
      </c>
      <c r="D19" s="69">
        <f t="shared" si="0"/>
        <v>0.10227042808960372</v>
      </c>
    </row>
    <row r="20" spans="2:4" x14ac:dyDescent="0.25">
      <c r="B20" s="70" t="s">
        <v>234</v>
      </c>
      <c r="C20" s="71">
        <f>SUM(C8:C19)</f>
        <v>10957.448999999999</v>
      </c>
      <c r="D20" s="60"/>
    </row>
    <row r="23" spans="2:4" ht="17.25" x14ac:dyDescent="0.3">
      <c r="B23" s="18" t="s">
        <v>235</v>
      </c>
      <c r="C23" s="19"/>
      <c r="D23" s="19"/>
    </row>
    <row r="24" spans="2:4" x14ac:dyDescent="0.25">
      <c r="B24" s="20" t="s">
        <v>233</v>
      </c>
    </row>
    <row r="25" spans="2:4" ht="19.5" customHeight="1" x14ac:dyDescent="0.25">
      <c r="B25" s="22" t="s">
        <v>134</v>
      </c>
      <c r="C25" s="22" t="s">
        <v>139</v>
      </c>
      <c r="D25" s="22" t="s">
        <v>29</v>
      </c>
    </row>
    <row r="26" spans="2:4" x14ac:dyDescent="0.25">
      <c r="B26" s="24" t="s">
        <v>141</v>
      </c>
      <c r="C26" s="33">
        <f>SUMIF(Kosten!$D$6:$D$55,B26,Kosten!$I$6:$I$55)</f>
        <v>1606.6190000000001</v>
      </c>
      <c r="D26" s="68">
        <f t="shared" ref="D26:D34" si="1">IFERROR(C26/$C$35,0)</f>
        <v>0.14662345222870762</v>
      </c>
    </row>
    <row r="27" spans="2:4" x14ac:dyDescent="0.25">
      <c r="B27" s="27" t="s">
        <v>146</v>
      </c>
      <c r="C27" s="38">
        <f>SUMIF(Kosten!$D$6:$D$55,B27,Kosten!$I$6:$I$55)</f>
        <v>2488.29</v>
      </c>
      <c r="D27" s="69">
        <f t="shared" si="1"/>
        <v>0.2270866147768518</v>
      </c>
    </row>
    <row r="28" spans="2:4" x14ac:dyDescent="0.25">
      <c r="B28" s="24" t="s">
        <v>154</v>
      </c>
      <c r="C28" s="33">
        <f>SUMIF(Kosten!$D$6:$D$55,B28,Kosten!$I$6:$I$55)</f>
        <v>3452.1899999999996</v>
      </c>
      <c r="D28" s="68">
        <f t="shared" si="1"/>
        <v>0.3150541699988747</v>
      </c>
    </row>
    <row r="29" spans="2:4" x14ac:dyDescent="0.25">
      <c r="B29" s="27" t="s">
        <v>151</v>
      </c>
      <c r="C29" s="38">
        <f>SUMIF(Kosten!$D$6:$D$55,B29,Kosten!$I$6:$I$55)</f>
        <v>898</v>
      </c>
      <c r="D29" s="69">
        <f t="shared" si="1"/>
        <v>8.1953381667576083E-2</v>
      </c>
    </row>
    <row r="30" spans="2:4" x14ac:dyDescent="0.25">
      <c r="B30" s="24" t="s">
        <v>169</v>
      </c>
      <c r="C30" s="33">
        <f>SUMIF(Kosten!$D$6:$D$55,B30,Kosten!$I$6:$I$55)</f>
        <v>174</v>
      </c>
      <c r="D30" s="68">
        <f t="shared" si="1"/>
        <v>1.5879608474563742E-2</v>
      </c>
    </row>
    <row r="31" spans="2:4" x14ac:dyDescent="0.25">
      <c r="B31" s="27" t="s">
        <v>159</v>
      </c>
      <c r="C31" s="38">
        <f>SUMIF(Kosten!$D$6:$D$55,B31,Kosten!$I$6:$I$55)</f>
        <v>1161.44</v>
      </c>
      <c r="D31" s="69">
        <f t="shared" si="1"/>
        <v>0.10599547394653627</v>
      </c>
    </row>
    <row r="32" spans="2:4" x14ac:dyDescent="0.25">
      <c r="B32" s="24" t="s">
        <v>166</v>
      </c>
      <c r="C32" s="33">
        <f>SUMIF(Kosten!$D$6:$D$55,B32,Kosten!$I$6:$I$55)</f>
        <v>990.08</v>
      </c>
      <c r="D32" s="68">
        <f t="shared" si="1"/>
        <v>9.0356797462621083E-2</v>
      </c>
    </row>
    <row r="33" spans="2:4" x14ac:dyDescent="0.25">
      <c r="B33" s="27" t="s">
        <v>173</v>
      </c>
      <c r="C33" s="38">
        <f>SUMIF(Kosten!$D$6:$D$55,B33,Kosten!$I$6:$I$55)</f>
        <v>73.78</v>
      </c>
      <c r="D33" s="69">
        <f t="shared" si="1"/>
        <v>6.7333190416857059E-3</v>
      </c>
    </row>
    <row r="34" spans="2:4" x14ac:dyDescent="0.25">
      <c r="B34" s="24" t="s">
        <v>208</v>
      </c>
      <c r="C34" s="33">
        <f>SUMIF(Kosten!$D$6:$D$55,B34,Kosten!$I$6:$I$55)</f>
        <v>113.05</v>
      </c>
      <c r="D34" s="68">
        <f t="shared" si="1"/>
        <v>1.0317182402582937E-2</v>
      </c>
    </row>
    <row r="35" spans="2:4" x14ac:dyDescent="0.25">
      <c r="B35" s="70" t="s">
        <v>234</v>
      </c>
      <c r="C35" s="71">
        <f>SUM(C26:C34)</f>
        <v>10957.449000000001</v>
      </c>
      <c r="D35" s="60"/>
    </row>
    <row r="38" spans="2:4" ht="17.25" x14ac:dyDescent="0.3">
      <c r="B38" s="18" t="s">
        <v>236</v>
      </c>
      <c r="C38" s="19"/>
      <c r="D38" s="19"/>
    </row>
    <row r="39" spans="2:4" x14ac:dyDescent="0.25">
      <c r="B39" s="20" t="s">
        <v>237</v>
      </c>
    </row>
    <row r="40" spans="2:4" ht="19.5" customHeight="1" x14ac:dyDescent="0.25">
      <c r="B40" s="22" t="s">
        <v>238</v>
      </c>
      <c r="C40" s="22" t="s">
        <v>139</v>
      </c>
    </row>
    <row r="41" spans="2:4" x14ac:dyDescent="0.25">
      <c r="B41" s="31" t="s">
        <v>239</v>
      </c>
      <c r="C41" s="33">
        <f>SUMIFS(Kosten!$I$6:$I$55,Kosten!$B$6:$B$55,"&gt;="&amp;DATE(2026,1,1),Kosten!$B$6:$B$55,"&lt;"&amp;DATE(2026,2,1))</f>
        <v>2137.0450000000001</v>
      </c>
    </row>
    <row r="42" spans="2:4" x14ac:dyDescent="0.25">
      <c r="B42" s="36" t="s">
        <v>240</v>
      </c>
      <c r="C42" s="38">
        <f>SUMIFS(Kosten!$I$6:$I$55,Kosten!$B$6:$B$55,"&gt;="&amp;DATE(2026,2,1),Kosten!$B$6:$B$55,"&lt;"&amp;DATE(2026,3,1))</f>
        <v>2391.3270000000002</v>
      </c>
    </row>
    <row r="43" spans="2:4" x14ac:dyDescent="0.25">
      <c r="B43" s="31" t="s">
        <v>241</v>
      </c>
      <c r="C43" s="33">
        <f>SUMIFS(Kosten!$I$6:$I$55,Kosten!$B$6:$B$55,"&gt;="&amp;DATE(2026,3,1),Kosten!$B$6:$B$55,"&lt;"&amp;DATE(2026,4,1))</f>
        <v>1821.5329999999999</v>
      </c>
    </row>
    <row r="44" spans="2:4" x14ac:dyDescent="0.25">
      <c r="B44" s="36" t="s">
        <v>242</v>
      </c>
      <c r="C44" s="38">
        <f>SUMIFS(Kosten!$I$6:$I$55,Kosten!$B$6:$B$55,"&gt;="&amp;DATE(2026,4,1),Kosten!$B$6:$B$55,"&lt;"&amp;DATE(2026,5,1))</f>
        <v>1526.634</v>
      </c>
    </row>
    <row r="45" spans="2:4" x14ac:dyDescent="0.25">
      <c r="B45" s="31" t="s">
        <v>243</v>
      </c>
      <c r="C45" s="33">
        <f>SUMIFS(Kosten!$I$6:$I$55,Kosten!$B$6:$B$55,"&gt;="&amp;DATE(2026,5,1),Kosten!$B$6:$B$55,"&lt;"&amp;DATE(2026,6,1))</f>
        <v>674.73</v>
      </c>
    </row>
    <row r="46" spans="2:4" x14ac:dyDescent="0.25">
      <c r="B46" s="36" t="s">
        <v>244</v>
      </c>
      <c r="C46" s="38">
        <f>SUMIFS(Kosten!$I$6:$I$55,Kosten!$B$6:$B$55,"&gt;="&amp;DATE(2026,6,1),Kosten!$B$6:$B$55,"&lt;"&amp;DATE(2026,7,1))</f>
        <v>275.00900000000001</v>
      </c>
    </row>
    <row r="47" spans="2:4" x14ac:dyDescent="0.25">
      <c r="B47" s="31" t="s">
        <v>245</v>
      </c>
      <c r="C47" s="33">
        <f>SUMIFS(Kosten!$I$6:$I$55,Kosten!$B$6:$B$55,"&gt;="&amp;DATE(2026,7,1),Kosten!$B$6:$B$55,"&lt;"&amp;DATE(2026,8,1))</f>
        <v>868.7</v>
      </c>
    </row>
    <row r="48" spans="2:4" x14ac:dyDescent="0.25">
      <c r="B48" s="36" t="s">
        <v>246</v>
      </c>
      <c r="C48" s="38">
        <f>SUMIFS(Kosten!$I$6:$I$55,Kosten!$B$6:$B$55,"&gt;="&amp;DATE(2026,8,1),Kosten!$B$6:$B$55,"&lt;"&amp;DATE(2026,9,1))</f>
        <v>982.93999999999994</v>
      </c>
    </row>
    <row r="49" spans="2:7" x14ac:dyDescent="0.25">
      <c r="B49" s="31" t="s">
        <v>247</v>
      </c>
      <c r="C49" s="33">
        <f>SUMIFS(Kosten!$I$6:$I$55,Kosten!$B$6:$B$55,"&gt;="&amp;DATE(2026,9,1),Kosten!$B$6:$B$55,"&lt;"&amp;DATE(2026,10,1))</f>
        <v>279.53100000000001</v>
      </c>
    </row>
    <row r="52" spans="2:7" ht="17.25" x14ac:dyDescent="0.3">
      <c r="B52" s="18" t="s">
        <v>248</v>
      </c>
      <c r="C52" s="19"/>
      <c r="D52" s="19"/>
      <c r="E52" s="19"/>
      <c r="F52" s="19"/>
      <c r="G52" s="19"/>
    </row>
    <row r="53" spans="2:7" x14ac:dyDescent="0.25">
      <c r="B53" s="20" t="s">
        <v>249</v>
      </c>
    </row>
    <row r="54" spans="2:7" ht="24" customHeight="1" x14ac:dyDescent="0.25">
      <c r="B54" s="22" t="s">
        <v>24</v>
      </c>
      <c r="C54" s="22" t="s">
        <v>51</v>
      </c>
      <c r="D54" s="22" t="s">
        <v>250</v>
      </c>
      <c r="E54" s="22" t="s">
        <v>251</v>
      </c>
      <c r="F54" s="22" t="s">
        <v>252</v>
      </c>
      <c r="G54" s="22" t="s">
        <v>253</v>
      </c>
    </row>
    <row r="55" spans="2:7" x14ac:dyDescent="0.25">
      <c r="B55" s="23" t="s">
        <v>53</v>
      </c>
      <c r="C55" s="33">
        <f>Flotte!O6</f>
        <v>24100</v>
      </c>
      <c r="D55" s="33">
        <f>IFERROR(MAX(0,(Flotte!M6-Flotte!N6))/(IF(AND(Flotte!I6&lt;&gt;"",Flotte!G6&lt;&gt;""),MAX(1,(Flotte!I6-Flotte!G6)/30.4),48)),0)</f>
        <v>0</v>
      </c>
      <c r="E55" s="33">
        <f>IFERROR(SUMIF(Kosten!$C$6:$C$55,B55,Kosten!$I$6:$I$55)/(MAX(1,(MAX(Kosten!$B$6:$B$55)-MIN(Kosten!$B$6:$B$55))/30)),0)</f>
        <v>38.561781376518226</v>
      </c>
      <c r="F55" s="72">
        <f t="shared" ref="F55:F66" si="2">C55+D55+E55</f>
        <v>24138.561781376517</v>
      </c>
      <c r="G55" s="33">
        <f t="shared" ref="G55:G66" si="3">F55*12</f>
        <v>289662.74137651821</v>
      </c>
    </row>
    <row r="56" spans="2:7" x14ac:dyDescent="0.25">
      <c r="B56" s="26" t="s">
        <v>63</v>
      </c>
      <c r="C56" s="38">
        <f>Flotte!O7</f>
        <v>15600</v>
      </c>
      <c r="D56" s="38">
        <f>IFERROR(MAX(0,(Flotte!M7-Flotte!N7))/(IF(AND(Flotte!I7&lt;&gt;"",Flotte!G7&lt;&gt;""),MAX(1,(Flotte!I7-Flotte!G7)/30.4),48)),0)</f>
        <v>0</v>
      </c>
      <c r="E56" s="38">
        <f>IFERROR(SUMIF(Kosten!$C$6:$C$55,B56,Kosten!$I$6:$I$55)/(MAX(1,(MAX(Kosten!$B$6:$B$55)-MIN(Kosten!$B$6:$B$55))/30)),0)</f>
        <v>163.65631578947369</v>
      </c>
      <c r="F56" s="73">
        <f t="shared" si="2"/>
        <v>15763.656315789474</v>
      </c>
      <c r="G56" s="38">
        <f t="shared" si="3"/>
        <v>189163.87578947371</v>
      </c>
    </row>
    <row r="57" spans="2:7" x14ac:dyDescent="0.25">
      <c r="B57" s="23" t="s">
        <v>71</v>
      </c>
      <c r="C57" s="33">
        <f>Flotte!O8</f>
        <v>14800</v>
      </c>
      <c r="D57" s="33">
        <f>IFERROR(MAX(0,(Flotte!M8-Flotte!N8))/(IF(AND(Flotte!I8&lt;&gt;"",Flotte!G8&lt;&gt;""),MAX(1,(Flotte!I8-Flotte!G8)/30.4),48)),0)</f>
        <v>0</v>
      </c>
      <c r="E57" s="33">
        <f>IFERROR(SUMIF(Kosten!$C$6:$C$55,B57,Kosten!$I$6:$I$55)/(MAX(1,(MAX(Kosten!$B$6:$B$55)-MIN(Kosten!$B$6:$B$55))/30)),0)</f>
        <v>77.357489878542509</v>
      </c>
      <c r="F57" s="72">
        <f t="shared" si="2"/>
        <v>14877.357489878543</v>
      </c>
      <c r="G57" s="33">
        <f t="shared" si="3"/>
        <v>178528.28987854251</v>
      </c>
    </row>
    <row r="58" spans="2:7" x14ac:dyDescent="0.25">
      <c r="B58" s="26" t="s">
        <v>79</v>
      </c>
      <c r="C58" s="38">
        <f>Flotte!O9</f>
        <v>28900</v>
      </c>
      <c r="D58" s="38">
        <f>IFERROR(MAX(0,(Flotte!M9-Flotte!N9))/(IF(AND(Flotte!I9&lt;&gt;"",Flotte!G9&lt;&gt;""),MAX(1,(Flotte!I9-Flotte!G9)/30.4),48)),0)</f>
        <v>0</v>
      </c>
      <c r="E58" s="38">
        <f>IFERROR(SUMIF(Kosten!$C$6:$C$55,B58,Kosten!$I$6:$I$55)/(MAX(1,(MAX(Kosten!$B$6:$B$55)-MIN(Kosten!$B$6:$B$55))/30)),0)</f>
        <v>111.86963562753037</v>
      </c>
      <c r="F58" s="73">
        <f t="shared" si="2"/>
        <v>29011.869635627529</v>
      </c>
      <c r="G58" s="38">
        <f t="shared" si="3"/>
        <v>348142.43562753033</v>
      </c>
    </row>
    <row r="59" spans="2:7" x14ac:dyDescent="0.25">
      <c r="B59" s="23" t="s">
        <v>87</v>
      </c>
      <c r="C59" s="33">
        <f>Flotte!O10</f>
        <v>21300</v>
      </c>
      <c r="D59" s="33">
        <f>IFERROR(MAX(0,(Flotte!M10-Flotte!N10))/(IF(AND(Flotte!I10&lt;&gt;"",Flotte!G10&lt;&gt;""),MAX(1,(Flotte!I10-Flotte!G10)/30.4),48)),0)</f>
        <v>0</v>
      </c>
      <c r="E59" s="33">
        <f>IFERROR(SUMIF(Kosten!$C$6:$C$55,B59,Kosten!$I$6:$I$55)/(MAX(1,(MAX(Kosten!$B$6:$B$55)-MIN(Kosten!$B$6:$B$55))/30)),0)</f>
        <v>121.75578947368422</v>
      </c>
      <c r="F59" s="72">
        <f t="shared" si="2"/>
        <v>21421.755789473686</v>
      </c>
      <c r="G59" s="33">
        <f t="shared" si="3"/>
        <v>257061.06947368424</v>
      </c>
    </row>
    <row r="60" spans="2:7" x14ac:dyDescent="0.25">
      <c r="B60" s="26" t="s">
        <v>94</v>
      </c>
      <c r="C60" s="38">
        <f>Flotte!O11</f>
        <v>0</v>
      </c>
      <c r="D60" s="38">
        <f>IFERROR(MAX(0,(Flotte!M11-Flotte!N11))/(IF(AND(Flotte!I11&lt;&gt;"",Flotte!G11&lt;&gt;""),MAX(1,(Flotte!I11-Flotte!G11)/30.4),48)),0)</f>
        <v>0</v>
      </c>
      <c r="E60" s="38">
        <f>IFERROR(SUMIF(Kosten!$C$6:$C$55,B60,Kosten!$I$6:$I$55)/(MAX(1,(MAX(Kosten!$B$6:$B$55)-MIN(Kosten!$B$6:$B$55))/30)),0)</f>
        <v>132.19117408906885</v>
      </c>
      <c r="F60" s="73">
        <f t="shared" si="2"/>
        <v>132.19117408906885</v>
      </c>
      <c r="G60" s="38">
        <f t="shared" si="3"/>
        <v>1586.2940890688262</v>
      </c>
    </row>
    <row r="61" spans="2:7" x14ac:dyDescent="0.25">
      <c r="B61" s="23" t="s">
        <v>100</v>
      </c>
      <c r="C61" s="33">
        <f>Flotte!O12</f>
        <v>16400</v>
      </c>
      <c r="D61" s="33">
        <f>IFERROR(MAX(0,(Flotte!M12-Flotte!N12))/(IF(AND(Flotte!I12&lt;&gt;"",Flotte!G12&lt;&gt;""),MAX(1,(Flotte!I12-Flotte!G12)/30.4),48)),0)</f>
        <v>0</v>
      </c>
      <c r="E61" s="33">
        <f>IFERROR(SUMIF(Kosten!$C$6:$C$55,B61,Kosten!$I$6:$I$55)/(MAX(1,(MAX(Kosten!$B$6:$B$55)-MIN(Kosten!$B$6:$B$55))/30)),0)</f>
        <v>179.88753036437248</v>
      </c>
      <c r="F61" s="72">
        <f t="shared" si="2"/>
        <v>16579.887530364373</v>
      </c>
      <c r="G61" s="33">
        <f t="shared" si="3"/>
        <v>198958.65036437247</v>
      </c>
    </row>
    <row r="62" spans="2:7" x14ac:dyDescent="0.25">
      <c r="B62" s="26" t="s">
        <v>106</v>
      </c>
      <c r="C62" s="38">
        <f>Flotte!O13</f>
        <v>15100</v>
      </c>
      <c r="D62" s="38">
        <f>IFERROR(MAX(0,(Flotte!M13-Flotte!N13))/(IF(AND(Flotte!I13&lt;&gt;"",Flotte!G13&lt;&gt;""),MAX(1,(Flotte!I13-Flotte!G13)/30.4),48)),0)</f>
        <v>0</v>
      </c>
      <c r="E62" s="38">
        <f>IFERROR(SUMIF(Kosten!$C$6:$C$55,B62,Kosten!$I$6:$I$55)/(MAX(1,(MAX(Kosten!$B$6:$B$55)-MIN(Kosten!$B$6:$B$55))/30)),0)</f>
        <v>42.42085020242915</v>
      </c>
      <c r="F62" s="73">
        <f t="shared" si="2"/>
        <v>15142.420850202428</v>
      </c>
      <c r="G62" s="38">
        <f t="shared" si="3"/>
        <v>181709.05020242915</v>
      </c>
    </row>
    <row r="63" spans="2:7" x14ac:dyDescent="0.25">
      <c r="B63" s="23" t="s">
        <v>112</v>
      </c>
      <c r="C63" s="33">
        <f>Flotte!O14</f>
        <v>27600</v>
      </c>
      <c r="D63" s="33">
        <f>IFERROR(MAX(0,(Flotte!M14-Flotte!N14))/(IF(AND(Flotte!I14&lt;&gt;"",Flotte!G14&lt;&gt;""),MAX(1,(Flotte!I14-Flotte!G14)/30.4),48)),0)</f>
        <v>0</v>
      </c>
      <c r="E63" s="33">
        <f>IFERROR(SUMIF(Kosten!$C$6:$C$55,B63,Kosten!$I$6:$I$55)/(MAX(1,(MAX(Kosten!$B$6:$B$55)-MIN(Kosten!$B$6:$B$55))/30)),0)</f>
        <v>90.808906882591117</v>
      </c>
      <c r="F63" s="72">
        <f t="shared" si="2"/>
        <v>27690.80890688259</v>
      </c>
      <c r="G63" s="33">
        <f t="shared" si="3"/>
        <v>332289.70688259107</v>
      </c>
    </row>
    <row r="64" spans="2:7" x14ac:dyDescent="0.25">
      <c r="B64" s="26" t="s">
        <v>118</v>
      </c>
      <c r="C64" s="38">
        <f>Flotte!O15</f>
        <v>12900</v>
      </c>
      <c r="D64" s="38">
        <f>IFERROR(MAX(0,(Flotte!M15-Flotte!N15))/(IF(AND(Flotte!I15&lt;&gt;"",Flotte!G15&lt;&gt;""),MAX(1,(Flotte!I15-Flotte!G15)/30.4),48)),0)</f>
        <v>0</v>
      </c>
      <c r="E64" s="38">
        <f>IFERROR(SUMIF(Kosten!$C$6:$C$55,B64,Kosten!$I$6:$I$55)/(MAX(1,(MAX(Kosten!$B$6:$B$55)-MIN(Kosten!$B$6:$B$55))/30)),0)</f>
        <v>236.24672064777329</v>
      </c>
      <c r="F64" s="73">
        <f t="shared" si="2"/>
        <v>13136.246720647774</v>
      </c>
      <c r="G64" s="38">
        <f t="shared" si="3"/>
        <v>157634.96064777329</v>
      </c>
    </row>
    <row r="65" spans="2:7" x14ac:dyDescent="0.25">
      <c r="B65" s="23" t="s">
        <v>122</v>
      </c>
      <c r="C65" s="33">
        <f>Flotte!O16</f>
        <v>0</v>
      </c>
      <c r="D65" s="33">
        <f>IFERROR(MAX(0,(Flotte!M16-Flotte!N16))/(IF(AND(Flotte!I16&lt;&gt;"",Flotte!G16&lt;&gt;""),MAX(1,(Flotte!I16-Flotte!G16)/30.4),48)),0)</f>
        <v>0</v>
      </c>
      <c r="E65" s="33">
        <f>IFERROR(SUMIF(Kosten!$C$6:$C$55,B65,Kosten!$I$6:$I$55)/(MAX(1,(MAX(Kosten!$B$6:$B$55)-MIN(Kosten!$B$6:$B$55))/30)),0)</f>
        <v>0</v>
      </c>
      <c r="F65" s="72">
        <f t="shared" si="2"/>
        <v>0</v>
      </c>
      <c r="G65" s="33">
        <f t="shared" si="3"/>
        <v>0</v>
      </c>
    </row>
    <row r="66" spans="2:7" x14ac:dyDescent="0.25">
      <c r="B66" s="26" t="s">
        <v>127</v>
      </c>
      <c r="C66" s="38">
        <f>Flotte!O17</f>
        <v>19800</v>
      </c>
      <c r="D66" s="38">
        <f>IFERROR(MAX(0,(Flotte!M17-Flotte!N17))/(IF(AND(Flotte!I17&lt;&gt;"",Flotte!G17&lt;&gt;""),MAX(1,(Flotte!I17-Flotte!G17)/30.4),48)),0)</f>
        <v>0</v>
      </c>
      <c r="E66" s="38">
        <f>IFERROR(SUMIF(Kosten!$C$6:$C$55,B66,Kosten!$I$6:$I$55)/(MAX(1,(MAX(Kosten!$B$6:$B$55)-MIN(Kosten!$B$6:$B$55))/30)),0)</f>
        <v>136.10805668016195</v>
      </c>
      <c r="F66" s="73">
        <f t="shared" si="2"/>
        <v>19936.108056680161</v>
      </c>
      <c r="G66" s="38">
        <f t="shared" si="3"/>
        <v>239233.29668016193</v>
      </c>
    </row>
    <row r="67" spans="2:7" x14ac:dyDescent="0.25">
      <c r="B67" s="74" t="s">
        <v>254</v>
      </c>
      <c r="C67" s="71">
        <f>SUM(C55:C66)</f>
        <v>196500</v>
      </c>
      <c r="D67" s="71">
        <f>SUM(D55:D66)</f>
        <v>0</v>
      </c>
      <c r="E67" s="71">
        <f>SUM(E55:E66)</f>
        <v>1330.864251012146</v>
      </c>
      <c r="F67" s="71">
        <f>SUM(F55:F66)</f>
        <v>197830.86425101213</v>
      </c>
      <c r="G67" s="71">
        <f>SUM(G55:G66)</f>
        <v>2373970.3710121457</v>
      </c>
    </row>
  </sheetData>
  <mergeCells count="2">
    <mergeCell ref="B2:G2"/>
    <mergeCell ref="B3:G3"/>
  </mergeCells>
  <printOptions horizontalCentered="1"/>
  <pageMargins left="0.75" right="0.75" top="1" bottom="1" header="0.511811023622047" footer="0.511811023622047"/>
  <pageSetup fitToHeight="0" orientation="landscape" horizontalDpi="300" verticalDpi="30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tabColor rgb="FF8598A9"/>
    <pageSetUpPr fitToPage="1"/>
  </sheetPr>
  <dimension ref="B2:C35"/>
  <sheetViews>
    <sheetView showGridLines="0" zoomScale="110" zoomScaleNormal="110" workbookViewId="0"/>
  </sheetViews>
  <sheetFormatPr baseColWidth="10" defaultColWidth="8.7109375" defaultRowHeight="15" x14ac:dyDescent="0.25"/>
  <cols>
    <col min="1" max="1" width="2" customWidth="1"/>
    <col min="2" max="2" width="26" customWidth="1"/>
    <col min="3" max="3" width="84" customWidth="1"/>
    <col min="4" max="4" width="2" customWidth="1"/>
  </cols>
  <sheetData>
    <row r="2" spans="2:3" ht="33.75" customHeight="1" x14ac:dyDescent="0.25">
      <c r="B2" s="94" t="s">
        <v>255</v>
      </c>
      <c r="C2" s="94"/>
    </row>
    <row r="3" spans="2:3" ht="18" customHeight="1" x14ac:dyDescent="0.25">
      <c r="B3" s="95" t="s">
        <v>256</v>
      </c>
      <c r="C3" s="95"/>
    </row>
    <row r="5" spans="2:3" ht="17.25" x14ac:dyDescent="0.3">
      <c r="B5" s="18" t="s">
        <v>257</v>
      </c>
      <c r="C5" s="19"/>
    </row>
    <row r="7" spans="2:3" ht="51.75" customHeight="1" x14ac:dyDescent="0.25">
      <c r="B7" s="96" t="s">
        <v>258</v>
      </c>
      <c r="C7" s="96"/>
    </row>
    <row r="9" spans="2:3" ht="17.25" x14ac:dyDescent="0.3">
      <c r="B9" s="18" t="s">
        <v>259</v>
      </c>
      <c r="C9" s="19"/>
    </row>
    <row r="11" spans="2:3" ht="19.5" customHeight="1" x14ac:dyDescent="0.25">
      <c r="B11" s="21" t="s">
        <v>260</v>
      </c>
      <c r="C11" s="21" t="s">
        <v>261</v>
      </c>
    </row>
    <row r="12" spans="2:3" ht="30" customHeight="1" x14ac:dyDescent="0.25">
      <c r="B12" s="75" t="s">
        <v>262</v>
      </c>
      <c r="C12" s="76" t="s">
        <v>263</v>
      </c>
    </row>
    <row r="13" spans="2:3" ht="30" customHeight="1" x14ac:dyDescent="0.25">
      <c r="B13" s="77" t="s">
        <v>264</v>
      </c>
      <c r="C13" s="78" t="s">
        <v>265</v>
      </c>
    </row>
    <row r="14" spans="2:3" ht="30" customHeight="1" x14ac:dyDescent="0.25">
      <c r="B14" s="75" t="s">
        <v>266</v>
      </c>
      <c r="C14" s="76" t="s">
        <v>267</v>
      </c>
    </row>
    <row r="15" spans="2:3" ht="30" customHeight="1" x14ac:dyDescent="0.25">
      <c r="B15" s="77" t="s">
        <v>268</v>
      </c>
      <c r="C15" s="78" t="s">
        <v>269</v>
      </c>
    </row>
    <row r="16" spans="2:3" ht="30" customHeight="1" x14ac:dyDescent="0.25">
      <c r="B16" s="75" t="s">
        <v>270</v>
      </c>
      <c r="C16" s="76" t="s">
        <v>271</v>
      </c>
    </row>
    <row r="17" spans="2:3" ht="30" customHeight="1" x14ac:dyDescent="0.25">
      <c r="B17" s="77" t="s">
        <v>272</v>
      </c>
      <c r="C17" s="78" t="s">
        <v>273</v>
      </c>
    </row>
    <row r="19" spans="2:3" ht="17.25" x14ac:dyDescent="0.3">
      <c r="B19" s="18" t="s">
        <v>274</v>
      </c>
      <c r="C19" s="19"/>
    </row>
    <row r="21" spans="2:3" ht="21.75" customHeight="1" x14ac:dyDescent="0.25">
      <c r="B21" s="79" t="s">
        <v>275</v>
      </c>
      <c r="C21" s="80" t="s">
        <v>276</v>
      </c>
    </row>
    <row r="22" spans="2:3" ht="21.75" customHeight="1" x14ac:dyDescent="0.25">
      <c r="B22" s="81" t="s">
        <v>277</v>
      </c>
      <c r="C22" s="82" t="s">
        <v>278</v>
      </c>
    </row>
    <row r="23" spans="2:3" ht="21.75" customHeight="1" x14ac:dyDescent="0.25">
      <c r="B23" s="83" t="s">
        <v>279</v>
      </c>
      <c r="C23" s="80" t="s">
        <v>280</v>
      </c>
    </row>
    <row r="24" spans="2:3" ht="21.75" customHeight="1" x14ac:dyDescent="0.25">
      <c r="B24" s="84" t="s">
        <v>281</v>
      </c>
      <c r="C24" s="82" t="s">
        <v>282</v>
      </c>
    </row>
    <row r="25" spans="2:3" ht="21.75" customHeight="1" x14ac:dyDescent="0.25">
      <c r="B25" s="85" t="s">
        <v>283</v>
      </c>
      <c r="C25" s="80" t="s">
        <v>284</v>
      </c>
    </row>
    <row r="26" spans="2:3" ht="21.75" customHeight="1" x14ac:dyDescent="0.25">
      <c r="B26" s="86" t="s">
        <v>285</v>
      </c>
      <c r="C26" s="82" t="s">
        <v>286</v>
      </c>
    </row>
    <row r="28" spans="2:3" ht="17.25" x14ac:dyDescent="0.3">
      <c r="B28" s="18" t="s">
        <v>287</v>
      </c>
      <c r="C28" s="19"/>
    </row>
    <row r="30" spans="2:3" ht="19.5" customHeight="1" x14ac:dyDescent="0.25">
      <c r="B30" s="97" t="s">
        <v>288</v>
      </c>
      <c r="C30" s="97"/>
    </row>
    <row r="31" spans="2:3" ht="19.5" customHeight="1" x14ac:dyDescent="0.25">
      <c r="B31" s="97" t="s">
        <v>289</v>
      </c>
      <c r="C31" s="97"/>
    </row>
    <row r="32" spans="2:3" ht="19.5" customHeight="1" x14ac:dyDescent="0.25">
      <c r="B32" s="97" t="s">
        <v>290</v>
      </c>
      <c r="C32" s="97"/>
    </row>
    <row r="33" spans="2:3" ht="19.5" customHeight="1" x14ac:dyDescent="0.25">
      <c r="B33" s="97" t="s">
        <v>291</v>
      </c>
      <c r="C33" s="97"/>
    </row>
    <row r="35" spans="2:3" ht="39.75" customHeight="1" x14ac:dyDescent="0.25">
      <c r="B35" s="98" t="s">
        <v>292</v>
      </c>
      <c r="C35" s="98"/>
    </row>
  </sheetData>
  <mergeCells count="8">
    <mergeCell ref="B32:C32"/>
    <mergeCell ref="B33:C33"/>
    <mergeCell ref="B35:C35"/>
    <mergeCell ref="B2:C2"/>
    <mergeCell ref="B3:C3"/>
    <mergeCell ref="B7:C7"/>
    <mergeCell ref="B30:C30"/>
    <mergeCell ref="B31:C31"/>
  </mergeCells>
  <printOptions horizontalCentered="1"/>
  <pageMargins left="0.75" right="0.75" top="1" bottom="1" header="0.511811023622047" footer="0.511811023622047"/>
  <pageSetup fitToHeight="0" orientation="landscape" horizontalDpi="300" verticalDpi="30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tabColor rgb="FFC9C9C9"/>
  </sheetPr>
  <dimension ref="A1:G11"/>
  <sheetViews>
    <sheetView zoomScaleNormal="100" workbookViewId="0"/>
  </sheetViews>
  <sheetFormatPr baseColWidth="10" defaultColWidth="8.7109375" defaultRowHeight="15" x14ac:dyDescent="0.25"/>
  <sheetData>
    <row r="1" spans="1:7" x14ac:dyDescent="0.25">
      <c r="A1" s="87" t="s">
        <v>293</v>
      </c>
    </row>
    <row r="2" spans="1:7" x14ac:dyDescent="0.25">
      <c r="A2" s="88" t="s">
        <v>27</v>
      </c>
      <c r="B2" s="88" t="s">
        <v>42</v>
      </c>
      <c r="C2" s="88" t="s">
        <v>41</v>
      </c>
      <c r="D2" s="88" t="s">
        <v>44</v>
      </c>
      <c r="E2" s="88" t="s">
        <v>134</v>
      </c>
      <c r="F2" s="88" t="s">
        <v>25</v>
      </c>
      <c r="G2" s="88" t="s">
        <v>294</v>
      </c>
    </row>
    <row r="3" spans="1:7" x14ac:dyDescent="0.25">
      <c r="A3" t="s">
        <v>30</v>
      </c>
      <c r="B3" t="s">
        <v>58</v>
      </c>
      <c r="C3" t="s">
        <v>67</v>
      </c>
      <c r="D3" t="s">
        <v>59</v>
      </c>
      <c r="E3" t="s">
        <v>141</v>
      </c>
      <c r="F3" t="s">
        <v>219</v>
      </c>
      <c r="G3">
        <v>0.19</v>
      </c>
    </row>
    <row r="4" spans="1:7" x14ac:dyDescent="0.25">
      <c r="A4" t="s">
        <v>31</v>
      </c>
      <c r="B4" t="s">
        <v>68</v>
      </c>
      <c r="C4" t="s">
        <v>60</v>
      </c>
      <c r="D4" t="s">
        <v>98</v>
      </c>
      <c r="E4" t="s">
        <v>146</v>
      </c>
      <c r="F4" t="s">
        <v>221</v>
      </c>
      <c r="G4">
        <v>7.0000000000000007E-2</v>
      </c>
    </row>
    <row r="5" spans="1:7" x14ac:dyDescent="0.25">
      <c r="A5" t="s">
        <v>32</v>
      </c>
      <c r="B5" t="s">
        <v>75</v>
      </c>
      <c r="C5" t="s">
        <v>91</v>
      </c>
      <c r="D5" t="s">
        <v>76</v>
      </c>
      <c r="E5" t="s">
        <v>154</v>
      </c>
      <c r="F5" t="s">
        <v>192</v>
      </c>
      <c r="G5">
        <v>0</v>
      </c>
    </row>
    <row r="6" spans="1:7" x14ac:dyDescent="0.25">
      <c r="A6" t="s">
        <v>33</v>
      </c>
      <c r="B6" t="s">
        <v>83</v>
      </c>
      <c r="C6" t="s">
        <v>57</v>
      </c>
      <c r="D6" t="s">
        <v>295</v>
      </c>
      <c r="E6" t="s">
        <v>151</v>
      </c>
      <c r="F6" t="s">
        <v>227</v>
      </c>
    </row>
    <row r="7" spans="1:7" x14ac:dyDescent="0.25">
      <c r="A7" t="s">
        <v>34</v>
      </c>
      <c r="B7" t="s">
        <v>110</v>
      </c>
      <c r="C7" t="s">
        <v>296</v>
      </c>
      <c r="E7" t="s">
        <v>169</v>
      </c>
      <c r="F7" t="s">
        <v>225</v>
      </c>
    </row>
    <row r="8" spans="1:7" x14ac:dyDescent="0.25">
      <c r="B8" t="s">
        <v>297</v>
      </c>
      <c r="E8" t="s">
        <v>159</v>
      </c>
      <c r="F8" t="s">
        <v>45</v>
      </c>
    </row>
    <row r="9" spans="1:7" x14ac:dyDescent="0.25">
      <c r="E9" t="s">
        <v>166</v>
      </c>
      <c r="F9" t="s">
        <v>151</v>
      </c>
    </row>
    <row r="10" spans="1:7" x14ac:dyDescent="0.25">
      <c r="E10" t="s">
        <v>173</v>
      </c>
    </row>
    <row r="11" spans="1:7" x14ac:dyDescent="0.25">
      <c r="E11" t="s">
        <v>208</v>
      </c>
    </row>
  </sheetData>
  <pageMargins left="0.75" right="0.75" top="1" bottom="1" header="0.511811023622047" footer="0.511811023622047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7</vt:i4>
      </vt:variant>
    </vt:vector>
  </HeadingPairs>
  <TitlesOfParts>
    <vt:vector size="7" baseType="lpstr">
      <vt:lpstr>Cockpit</vt:lpstr>
      <vt:lpstr>Flotte</vt:lpstr>
      <vt:lpstr>Kosten</vt:lpstr>
      <vt:lpstr>Termine</vt:lpstr>
      <vt:lpstr>Analyse</vt:lpstr>
      <vt:lpstr>Info</vt:lpstr>
      <vt:lpstr>Listen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openpyxl</dc:creator>
  <dc:description/>
  <cp:lastModifiedBy>Sergio Jiménez Canales</cp:lastModifiedBy>
  <cp:revision>1</cp:revision>
  <dcterms:created xsi:type="dcterms:W3CDTF">2026-09-29T13:16:10Z</dcterms:created>
  <dcterms:modified xsi:type="dcterms:W3CDTF">2026-09-30T05:57:13Z</dcterms:modified>
  <dc:language>en-US</dc:language>
</cp:coreProperties>
</file>