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ender 2027" sheetId="1" state="visible" r:id="rId3"/>
    <sheet name="Termine &amp; Feiertage" sheetId="2" state="visible" r:id="rId4"/>
    <sheet name="Anleit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<sst xmlns="http://schemas.openxmlformats.org/spreadsheetml/2006/main" count="258" uniqueCount="105">
  <si>
    <t xml:space="preserve">JAHRESKALENDER</t>
  </si>
  <si>
    <t xml:space="preserve">Strategische Jahresplanung · Termine · Feiertage</t>
  </si>
  <si>
    <t xml:space="preserve">ARBEITSTAGE</t>
  </si>
  <si>
    <t xml:space="preserve">WOCHENENDTAGE</t>
  </si>
  <si>
    <t xml:space="preserve">GESETZL. FEIERTAGE</t>
  </si>
  <si>
    <t xml:space="preserve">GEPLANTE URLAUBSTAGE</t>
  </si>
  <si>
    <t xml:space="preserve">Wochenende</t>
  </si>
  <si>
    <t xml:space="preserve">Feiertag</t>
  </si>
  <si>
    <t xml:space="preserve">Termin / Urlaub</t>
  </si>
  <si>
    <t xml:space="preserve">Heute</t>
  </si>
  <si>
    <t xml:space="preserve">KW = Kalenderwoche</t>
  </si>
  <si>
    <t xml:space="preserve">Jahr rechts oben änderbar.</t>
  </si>
  <si>
    <t xml:space="preserve">JANUAR</t>
  </si>
  <si>
    <t xml:space="preserve">FEBRUAR</t>
  </si>
  <si>
    <t xml:space="preserve">MÄRZ</t>
  </si>
  <si>
    <t xml:space="preserve">APRIL</t>
  </si>
  <si>
    <t xml:space="preserve">KW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</si>
  <si>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</si>
  <si>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</si>
  <si>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</si>
  <si>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</si>
  <si>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</si>
  <si>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</si>
  <si>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</si>
  <si>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</si>
  <si>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</si>
  <si>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</si>
  <si>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</si>
  <si>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</si>
  <si>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</si>
  <si>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</si>
  <si>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</si>
  <si>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Sonntage und gesetzliche Feiertage sind rot hervorgehoben · Termine und Urlaube werden aus dem Blatt »Termine &amp; Feiertage« übernommen.</t>
  </si>
  <si>
    <t xml:space="preserve">TERMINE &amp; FEIERTAGE 2027</t>
  </si>
  <si>
    <t xml:space="preserve">Zentrale Datenquelle · steuert Markierungen und Kennzahlen im Kalender</t>
  </si>
  <si>
    <t xml:space="preserve">Blaue Felder selbst befüllen · Typ über das Auswahlmenü wählen</t>
  </si>
  <si>
    <t xml:space="preserve">Datum</t>
  </si>
  <si>
    <t xml:space="preserve">Typ</t>
  </si>
  <si>
    <t xml:space="preserve">Bezeichnung</t>
  </si>
  <si>
    <t xml:space="preserve">Ort / Notiz</t>
  </si>
  <si>
    <t xml:space="preserve">Priorität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</si>
  <si>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</si>
  <si>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</si>
  <si>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</si>
  <si>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</si>
  <si>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</si>
  <si>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</si>
  <si>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</si>
  <si>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1. Weihnachtstag</t>
  </si>
  <si>
    <t xml:space="preserve">2. Weihnachtstag</t>
  </si>
  <si>
    <t xml:space="preserve">Termin</t>
  </si>
  <si>
    <t xml:space="preserve">Kick-off Meeting</t>
  </si>
  <si>
    <t xml:space="preserve">Konferenzraum A</t>
  </si>
  <si>
    <t xml:space="preserve">Hoch</t>
  </si>
  <si>
    <t xml:space="preserve">Frist</t>
  </si>
  <si>
    <t xml:space="preserve">Berichtsabgabe</t>
  </si>
  <si>
    <t xml:space="preserve">Geburtstag</t>
  </si>
  <si>
    <t xml:space="preserve">Geburtstag (Beispiel)</t>
  </si>
  <si>
    <t xml:space="preserve">Niedrig</t>
  </si>
  <si>
    <t xml:space="preserve">Strategie-Workshop</t>
  </si>
  <si>
    <t xml:space="preserve">extern</t>
  </si>
  <si>
    <t xml:space="preserve">Mittel</t>
  </si>
  <si>
    <t xml:space="preserve">Urlaub</t>
  </si>
  <si>
    <t xml:space="preserve">Frühjahr</t>
  </si>
  <si>
    <t xml:space="preserve">Monatsabschluss</t>
  </si>
  <si>
    <t xml:space="preserve">Kundentermin</t>
  </si>
  <si>
    <t xml:space="preserve">vor Ort</t>
  </si>
  <si>
    <t xml:space="preserve">Quartalsmeldung</t>
  </si>
  <si>
    <t xml:space="preserve">Sommerurlaub</t>
  </si>
  <si>
    <t xml:space="preserve">Audit</t>
  </si>
  <si>
    <t xml:space="preserve">Planungsrunde</t>
  </si>
  <si>
    <t xml:space="preserve">Jahresrückblick</t>
  </si>
  <si>
    <t xml:space="preserve">Budget 2028</t>
  </si>
  <si>
    <t xml:space="preserve">Hinweis: Weitere Zeilen einfach unterhalb ergänzen – der Kalender markiert passende Tage automatisch.</t>
  </si>
  <si>
    <t xml:space="preserve">   ANLEITUNG &amp; LEGENDE</t>
  </si>
  <si>
    <t xml:space="preserve">   So nutzen Sie den Jahreskalender 2027</t>
  </si>
  <si>
    <t xml:space="preserve">Überblick</t>
  </si>
  <si>
    <t xml:space="preserve">Diese Arbeitsmappe zeigt das gesamte Jahr auf einer Seite. Alle Tage, Kalenderwochen und Kennzahlen werden per Formel berechnet – ändern Sie nur das Jahr oder die Terminliste, der Rest aktualisiert sich selbst.</t>
  </si>
  <si>
    <t xml:space="preserve">In 3 Schritten</t>
  </si>
  <si>
    <t xml:space="preserve">1 · Jahr festlegen</t>
  </si>
  <si>
    <t xml:space="preserve">Im Blatt »Kalender« oben rechts die große blaue Jahreszahl ändern (z. B. 2028). Der komplette Kalender rechnet neu.</t>
  </si>
  <si>
    <t xml:space="preserve">2 · Termine pflegen</t>
  </si>
  <si>
    <t xml:space="preserve">Im Blatt »Termine &amp; Feiertage« Datum, Typ und Bezeichnung eintragen. Der Typ wird über ein Auswahlmenü gewählt.</t>
  </si>
  <si>
    <t xml:space="preserve">3 · Auswerten</t>
  </si>
  <si>
    <t xml:space="preserve">Die Kennzahlen (Arbeitstage, Wochenendtage, Feiertage, Urlaubstage) oben im Kalender aktualisieren sich automatisch.</t>
  </si>
  <si>
    <t xml:space="preserve">Farblegende</t>
  </si>
  <si>
    <t xml:space="preserve">Samstag- und Sonntagsspalten sind dezent hinterlegt.</t>
  </si>
  <si>
    <t xml:space="preserve">Gesetzliche Feiertage (Typ »Feiertag«) erscheinen rot.</t>
  </si>
  <si>
    <t xml:space="preserve">Alle übrigen Einträge (Termin, Urlaub, Frist, Geburtstag) werden blau markiert.</t>
  </si>
  <si>
    <t xml:space="preserve">Das aktuelle Datum wird golden hervorgehoben.</t>
  </si>
  <si>
    <t xml:space="preserve">Spalte mit der Kalenderwoche (ISO 8601) je Zeile.</t>
  </si>
  <si>
    <t xml:space="preserve">Farbcodierung der Zahlen</t>
  </si>
  <si>
    <t xml:space="preserve">Blau</t>
  </si>
  <si>
    <t xml:space="preserve">Eingabefelder – hier tragen Sie eigene Werte ein.</t>
  </si>
  <si>
    <t xml:space="preserve">Schwarz</t>
  </si>
  <si>
    <t xml:space="preserve">Automatisch berechnete Werte (Formeln) – nicht überschreiben.</t>
  </si>
  <si>
    <t xml:space="preserve">Rot</t>
  </si>
  <si>
    <t xml:space="preserve">Sonntage und gesetzliche Feiertage.</t>
  </si>
  <si>
    <t xml:space="preserve">Hinweise</t>
  </si>
  <si>
    <t xml:space="preserve">Drucken</t>
  </si>
  <si>
    <t xml:space="preserve">Jedes Blatt ist für den Druck im Querformat auf einer Seite eingerichtet.</t>
  </si>
  <si>
    <t xml:space="preserve">Wiederverwendbar</t>
  </si>
  <si>
    <t xml:space="preserve">Durch Ändern der Jahreszahl wird die Vorlage für jedes beliebige Jahr nutzbar.</t>
  </si>
  <si>
    <t xml:space="preserve">Feiertage</t>
  </si>
  <si>
    <t xml:space="preserve">Voreingetragen sind die bundesweiten Feiertage. Regionale Feiertage ergänzen Sie in der Terminliste.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</si>
</sst>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General"/>
    <numFmt numFmtId="167" formatCode="dd\.mm\.yyyy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36"/>
      <color rgb="FFBBD5EC"/>
      <name val="Calibri"/>
      <family val="0"/>
      <charset val="1"/>
    </font>
    <font>
      <i val="true"/>
      <sz val="11"/>
      <color rgb="FFAFC4D8"/>
      <name val="Calibri"/>
      <family val="0"/>
      <charset val="1"/>
    </font>
    <font>
      <b val="true"/>
      <sz val="9"/>
      <color rgb="FF6A7483"/>
      <name val="Calibri"/>
      <family val="0"/>
      <charset val="1"/>
    </font>
    <font>
      <b val="true"/>
      <sz val="18"/>
      <color rgb="FF21517D"/>
      <name val="Calibri"/>
      <family val="0"/>
      <charset val="1"/>
    </font>
    <font>
      <sz val="8.5"/>
      <color rgb="FF28313B"/>
      <name val="Calibri"/>
      <family val="0"/>
      <charset val="1"/>
    </font>
    <font>
      <i val="true"/>
      <sz val="9"/>
      <color rgb="FF6A7483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8"/>
      <color rgb="FF7E8A99"/>
      <name val="Calibri"/>
      <family val="0"/>
      <charset val="1"/>
    </font>
    <font>
      <b val="true"/>
      <sz val="8.5"/>
      <color rgb="FF21517D"/>
      <name val="Calibri"/>
      <family val="0"/>
      <charset val="1"/>
    </font>
    <font>
      <b val="true"/>
      <sz val="8.5"/>
      <color rgb="FF6C7786"/>
      <name val="Calibri"/>
      <family val="0"/>
      <charset val="1"/>
    </font>
    <font>
      <b val="true"/>
      <sz val="8.5"/>
      <color rgb="FFA5303B"/>
      <name val="Calibri"/>
      <family val="0"/>
      <charset val="1"/>
    </font>
    <font>
      <sz val="8.5"/>
      <color rgb="FF7E8A99"/>
      <name val="Calibri"/>
      <family val="0"/>
      <charset val="1"/>
    </font>
    <font>
      <sz val="9"/>
      <color rgb="FF28313B"/>
      <name val="Calibri"/>
      <family val="0"/>
      <charset val="1"/>
    </font>
    <font>
      <sz val="9"/>
      <color rgb="FF6C7786"/>
      <name val="Calibri"/>
      <family val="0"/>
      <charset val="1"/>
    </font>
    <font>
      <b val="true"/>
      <sz val="9"/>
      <color rgb="FFA5303B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sz val="10"/>
      <color rgb="FF0000FF"/>
      <name val="Calibri"/>
      <family val="0"/>
      <charset val="1"/>
    </font>
    <font>
      <sz val="10"/>
      <color rgb="FF28313B"/>
      <name val="Calibri"/>
      <family val="0"/>
      <charset val="1"/>
    </font>
    <font>
      <b val="true"/>
      <sz val="11"/>
      <color rgb="FF21517D"/>
      <name val="Calibri"/>
      <family val="0"/>
      <charset val="1"/>
    </font>
    <font>
      <b val="true"/>
      <sz val="10"/>
      <color rgb="FF28313B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6222E"/>
        <bgColor rgb="FF28313B"/>
      </patternFill>
    </fill>
    <fill>
      <patternFill patternType="solid">
        <fgColor rgb="FFF1F5F9"/>
        <bgColor rgb="FFEEF1F5"/>
      </patternFill>
    </fill>
    <fill>
      <patternFill patternType="solid">
        <fgColor rgb="FFEEF1F5"/>
        <bgColor rgb="FFEAF1F8"/>
      </patternFill>
    </fill>
    <fill>
      <patternFill patternType="solid">
        <fgColor rgb="FFF3DADD"/>
        <bgColor rgb="FFE7ECF2"/>
      </patternFill>
    </fill>
    <fill>
      <patternFill patternType="solid">
        <fgColor rgb="FFDCEAF4"/>
        <bgColor rgb="FFE7ECF2"/>
      </patternFill>
    </fill>
    <fill>
      <patternFill patternType="solid">
        <fgColor rgb="FFFBE7A6"/>
        <bgColor rgb="FFF3DADD"/>
      </patternFill>
    </fill>
    <fill>
      <patternFill patternType="solid">
        <fgColor rgb="FFE7ECF2"/>
        <bgColor rgb="FFEAF1F8"/>
      </patternFill>
    </fill>
    <fill>
      <patternFill patternType="solid">
        <fgColor rgb="FF2E6CA4"/>
        <bgColor rgb="FF21517D"/>
      </patternFill>
    </fill>
    <fill>
      <patternFill patternType="solid">
        <fgColor rgb="FFEAF1F8"/>
        <bgColor rgb="FFEEF1F5"/>
      </patternFill>
    </fill>
    <fill>
      <patternFill patternType="solid">
        <fgColor rgb="FFFFFFFF"/>
        <bgColor rgb="FFF7F9FC"/>
      </patternFill>
    </fill>
    <fill>
      <patternFill patternType="solid">
        <fgColor rgb="FFF7F9FC"/>
        <bgColor rgb="FFF1F5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2"/>
      </left>
      <right style="thin">
        <color rgb="FFD3DAE2"/>
      </right>
      <top style="thin">
        <color rgb="FFD3DAE2"/>
      </top>
      <bottom style="thin">
        <color rgb="FFD3DA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8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1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4" fillId="4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4" fillId="5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4" fillId="6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4" fillId="7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4" fillId="8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BE7A6"/>
        </patternFill>
      </fill>
    </dxf>
    <dxf>
      <fill>
        <patternFill>
          <bgColor rgb="FFF3DADD"/>
        </patternFill>
      </fill>
    </dxf>
    <dxf>
      <fill>
        <patternFill>
          <bgColor rgb="FFDCEAF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C4D8"/>
      <rgbColor rgb="FF7E8A99"/>
      <rgbColor rgb="FF9999FF"/>
      <rgbColor rgb="FFA5303B"/>
      <rgbColor rgb="FFF7F9FC"/>
      <rgbColor rgb="FFDCEAF4"/>
      <rgbColor rgb="FF660066"/>
      <rgbColor rgb="FFFF8080"/>
      <rgbColor rgb="FF2E6CA4"/>
      <rgbColor rgb="FFBBD5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8"/>
      <rgbColor rgb="FFE7ECF2"/>
      <rgbColor rgb="FFFBE7A6"/>
      <rgbColor rgb="FFD3DAE2"/>
      <rgbColor rgb="FFEEF1F5"/>
      <rgbColor rgb="FFF1F5F9"/>
      <rgbColor rgb="FFF3DADD"/>
      <rgbColor rgb="FF3366FF"/>
      <rgbColor rgb="FF33CCCC"/>
      <rgbColor rgb="FF99CC00"/>
      <rgbColor rgb="FFFFCC00"/>
      <rgbColor rgb="FFFF9900"/>
      <rgbColor rgb="FFFF6600"/>
      <rgbColor rgb="FF6A7483"/>
      <rgbColor rgb="FF6C7786"/>
      <rgbColor rgb="FF003366"/>
      <rgbColor rgb="FF339966"/>
      <rgbColor rgb="FF16222E"/>
      <rgbColor rgb="FF333300"/>
      <rgbColor rgb="FF993300"/>
      <rgbColor rgb="FF993366"/>
      <rgbColor rgb="FF21517D"/>
      <rgbColor rgb="FF2831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.6"/>
    <col collapsed="false" customWidth="true" hidden="false" outlineLevel="0" max="9" min="3" style="0" width="4.4"/>
    <col collapsed="false" customWidth="true" hidden="false" outlineLevel="0" max="10" min="10" style="0" width="1.8"/>
    <col collapsed="false" customWidth="true" hidden="false" outlineLevel="0" max="11" min="11" style="0" width="4.6"/>
    <col collapsed="false" customWidth="true" hidden="false" outlineLevel="0" max="18" min="12" style="0" width="4.4"/>
    <col collapsed="false" customWidth="true" hidden="false" outlineLevel="0" max="19" min="19" style="0" width="1.8"/>
    <col collapsed="false" customWidth="true" hidden="false" outlineLevel="0" max="20" min="20" style="0" width="4.6"/>
    <col collapsed="false" customWidth="true" hidden="false" outlineLevel="0" max="27" min="21" style="0" width="4.4"/>
    <col collapsed="false" customWidth="true" hidden="false" outlineLevel="0" max="28" min="28" style="0" width="1.8"/>
    <col collapsed="false" customWidth="true" hidden="false" outlineLevel="0" max="29" min="29" style="0" width="4.6"/>
    <col collapsed="false" customWidth="true" hidden="false" outlineLevel="0" max="36" min="30" style="0" width="4.4"/>
    <col collapsed="false" customWidth="true" hidden="false" outlineLevel="0" max="37" min="37" style="0" width="2.2"/>
  </cols>
  <sheetData>
    <row r="1" customFormat="false" ht="15.75" hidden="false" customHeight="true" outlineLevel="0" collapsed="false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3" t="n">
        <v>2027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customFormat="false" ht="15.75" hidden="false" customHeight="true" outlineLevel="0" collapsed="false">
      <c r="A2" s="1"/>
      <c r="B2" s="1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  <c r="T2" s="1"/>
      <c r="U2" s="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customFormat="false" ht="15.7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customFormat="false" ht="6" hidden="false" customHeight="true" outlineLevel="0" collapsed="false"/>
    <row r="5" customFormat="false" ht="15.75" hidden="false" customHeight="true" outlineLevel="0" collapsed="false">
      <c r="B5" s="5" t="s">
        <v>2</v>
      </c>
      <c r="C5" s="5"/>
      <c r="D5" s="5"/>
      <c r="E5" s="5"/>
      <c r="F5" s="5"/>
      <c r="G5" s="5"/>
      <c r="H5" s="5"/>
      <c r="I5" s="5"/>
      <c r="K5" s="5" t="s">
        <v>3</v>
      </c>
      <c r="L5" s="5"/>
      <c r="M5" s="5"/>
      <c r="N5" s="5"/>
      <c r="O5" s="5"/>
      <c r="P5" s="5"/>
      <c r="Q5" s="5"/>
      <c r="R5" s="5"/>
      <c r="T5" s="5" t="s">
        <v>4</v>
      </c>
      <c r="U5" s="5"/>
      <c r="V5" s="5"/>
      <c r="W5" s="5"/>
      <c r="X5" s="5"/>
      <c r="Y5" s="5"/>
      <c r="Z5" s="5"/>
      <c r="AA5" s="5"/>
      <c r="AC5" s="5" t="s">
        <v>5</v>
      </c>
      <c r="AD5" s="5"/>
      <c r="AE5" s="5"/>
      <c r="AF5" s="5"/>
      <c r="AG5" s="5"/>
      <c r="AH5" s="5"/>
      <c r="AI5" s="5"/>
      <c r="AJ5" s="5"/>
    </row>
    <row r="6" customFormat="false" ht="25.5" hidden="false" customHeight="true" outlineLevel="0" collapsed="false">
      <c r="B6" s="6" t="n">
        <f aca="false">NETWORKDAYS(DATE($V$1,1,1),DATE($V$1,12,31),'Termine &amp; Feiertage'!$F$5:$F$300)</f>
        <v>256</v>
      </c>
      <c r="C6" s="6"/>
      <c r="D6" s="6"/>
      <c r="E6" s="6"/>
      <c r="F6" s="6"/>
      <c r="G6" s="6"/>
      <c r="H6" s="6"/>
      <c r="I6" s="6"/>
      <c r="K6" s="6" t="n">
        <f aca="false">(DATE($V$1,12,31)-DATE($V$1,1,1)+1)-NETWORKDAYS(DATE($V$1,1,1),DATE($V$1,12,31))</f>
        <v>104</v>
      </c>
      <c r="L6" s="6"/>
      <c r="M6" s="6"/>
      <c r="N6" s="6"/>
      <c r="O6" s="6"/>
      <c r="P6" s="6"/>
      <c r="Q6" s="6"/>
      <c r="R6" s="6"/>
      <c r="T6" s="6" t="n">
        <f aca="false">COUNTIF('Termine &amp; Feiertage'!$B$5:$B$300,"Feiertag")</f>
        <v>9</v>
      </c>
      <c r="U6" s="6"/>
      <c r="V6" s="6"/>
      <c r="W6" s="6"/>
      <c r="X6" s="6"/>
      <c r="Y6" s="6"/>
      <c r="Z6" s="6"/>
      <c r="AA6" s="6"/>
      <c r="AC6" s="6" t="n">
        <f aca="false">COUNTIF('Termine &amp; Feiertage'!$B$5:$B$300,"Urlaub")</f>
        <v>15</v>
      </c>
      <c r="AD6" s="6"/>
      <c r="AE6" s="6"/>
      <c r="AF6" s="6"/>
      <c r="AG6" s="6"/>
      <c r="AH6" s="6"/>
      <c r="AI6" s="6"/>
      <c r="AJ6" s="6"/>
    </row>
    <row r="7" customFormat="false" ht="4.5" hidden="false" customHeight="true" outlineLevel="0" collapsed="false"/>
    <row r="8" customFormat="false" ht="15.75" hidden="false" customHeight="true" outlineLevel="0" collapsed="false">
      <c r="B8" s="7"/>
      <c r="C8" s="8" t="s">
        <v>6</v>
      </c>
      <c r="F8" s="9"/>
      <c r="G8" s="8" t="s">
        <v>7</v>
      </c>
      <c r="J8" s="10"/>
      <c r="K8" s="8" t="s">
        <v>8</v>
      </c>
      <c r="O8" s="11"/>
      <c r="P8" s="8" t="s">
        <v>9</v>
      </c>
      <c r="S8" s="12"/>
      <c r="T8" s="8" t="s">
        <v>10</v>
      </c>
      <c r="AC8" s="13" t="s">
        <v>11</v>
      </c>
      <c r="AD8" s="13"/>
      <c r="AE8" s="13"/>
      <c r="AF8" s="13"/>
      <c r="AG8" s="13"/>
      <c r="AH8" s="13"/>
      <c r="AI8" s="13"/>
      <c r="AJ8" s="13"/>
    </row>
    <row r="9" customFormat="false" ht="4.5" hidden="false" customHeight="true" outlineLevel="0" collapsed="false"/>
    <row r="10" customFormat="false" ht="18" hidden="false" customHeight="true" outlineLevel="0" collapsed="false">
      <c r="B10" s="14" t="s">
        <v>12</v>
      </c>
      <c r="C10" s="14"/>
      <c r="D10" s="14"/>
      <c r="E10" s="14"/>
      <c r="F10" s="14"/>
      <c r="G10" s="14"/>
      <c r="H10" s="14"/>
      <c r="I10" s="14"/>
      <c r="K10" s="14" t="s">
        <v>13</v>
      </c>
      <c r="L10" s="14"/>
      <c r="M10" s="14"/>
      <c r="N10" s="14"/>
      <c r="O10" s="14"/>
      <c r="P10" s="14"/>
      <c r="Q10" s="14"/>
      <c r="R10" s="14"/>
      <c r="T10" s="14" t="s">
        <v>14</v>
      </c>
      <c r="U10" s="14"/>
      <c r="V10" s="14"/>
      <c r="W10" s="14"/>
      <c r="X10" s="14"/>
      <c r="Y10" s="14"/>
      <c r="Z10" s="14"/>
      <c r="AA10" s="14"/>
      <c r="AC10" s="14" t="s">
        <v>15</v>
      </c>
      <c r="AD10" s="14"/>
      <c r="AE10" s="14"/>
      <c r="AF10" s="14"/>
      <c r="AG10" s="14"/>
      <c r="AH10" s="14"/>
      <c r="AI10" s="14"/>
      <c r="AJ10" s="14"/>
    </row>
    <row r="11" customFormat="false" ht="15" hidden="false" customHeight="true" outlineLevel="0" collapsed="false">
      <c r="B11" s="15" t="s">
        <v>16</v>
      </c>
      <c r="C11" s="16" t="s">
        <v>17</v>
      </c>
      <c r="D11" s="16" t="s">
        <v>18</v>
      </c>
      <c r="E11" s="16" t="s">
        <v>19</v>
      </c>
      <c r="F11" s="16" t="s">
        <v>20</v>
      </c>
      <c r="G11" s="16" t="s">
        <v>21</v>
      </c>
      <c r="H11" s="17" t="s">
        <v>22</v>
      </c>
      <c r="I11" s="18" t="s">
        <v>23</v>
      </c>
      <c r="K11" s="15" t="s">
        <v>16</v>
      </c>
      <c r="L11" s="16" t="s">
        <v>17</v>
      </c>
      <c r="M11" s="16" t="s">
        <v>18</v>
      </c>
      <c r="N11" s="16" t="s">
        <v>19</v>
      </c>
      <c r="O11" s="16" t="s">
        <v>20</v>
      </c>
      <c r="P11" s="16" t="s">
        <v>21</v>
      </c>
      <c r="Q11" s="17" t="s">
        <v>22</v>
      </c>
      <c r="R11" s="18" t="s">
        <v>23</v>
      </c>
      <c r="T11" s="15" t="s">
        <v>16</v>
      </c>
      <c r="U11" s="16" t="s">
        <v>17</v>
      </c>
      <c r="V11" s="16" t="s">
        <v>18</v>
      </c>
      <c r="W11" s="16" t="s">
        <v>19</v>
      </c>
      <c r="X11" s="16" t="s">
        <v>20</v>
      </c>
      <c r="Y11" s="16" t="s">
        <v>21</v>
      </c>
      <c r="Z11" s="17" t="s">
        <v>22</v>
      </c>
      <c r="AA11" s="18" t="s">
        <v>23</v>
      </c>
      <c r="AC11" s="15" t="s">
        <v>16</v>
      </c>
      <c r="AD11" s="16" t="s">
        <v>17</v>
      </c>
      <c r="AE11" s="16" t="s">
        <v>18</v>
      </c>
      <c r="AF11" s="16" t="s">
        <v>19</v>
      </c>
      <c r="AG11" s="16" t="s">
        <v>20</v>
      </c>
      <c r="AH11" s="16" t="s">
        <v>21</v>
      </c>
      <c r="AI11" s="17" t="s">
        <v>22</v>
      </c>
      <c r="AJ11" s="18" t="s">
        <v>23</v>
      </c>
    </row>
    <row r="12" customFormat="false" ht="15" hidden="false" customHeight="true" outlineLevel="0" collapsed="false">
      <c r="B12" s="19" t="n">
        <f aca="false">IF(AND((0*7+7-WEEKDAY(DATE($V$1,1,1),2)+1)&gt;=1,(0*7+1-WEEKDAY(DATE($V$1,1,1),2)+1)&lt;=DAY(EOMONTH(DATE($V$1,1,1),0))),INT(((DATE($V$1,1,1)-WEEKDAY(DATE($V$1,1,1),2)+1+0*7)-DATE(YEAR((DATE($V$1,1,1)-WEEKDAY(DATE($V$1,1,1),2)+1+0*7)-WEEKDAY((DATE($V$1,1,1)-WEEKDAY(DATE($V$1,1,1),2)+1+0*7)-1)+4),1,3)+WEEKDAY(DATE(YEAR((DATE($V$1,1,1)-WEEKDAY(DATE($V$1,1,1),2)+1+0*7)-WEEKDAY((DATE($V$1,1,1)-WEEKDAY(DATE($V$1,1,1),2)+1+0*7)-1)+4),1,3))+5)/7),"")</f>
        <v>53</v>
      </c>
      <c r="C12" s="20" t="str">
        <f aca="false">IF(AND((0*7+1-WEEKDAY(DATE($V$1,1,1),2)+1)&gt;=1,(0*7+1-WEEKDAY(DATE($V$1,1,1),2)+1)&lt;=DAY(EOMONTH(DATE($V$1,1,1),0))),(0*7+1-WEEKDAY(DATE($V$1,1,1),2)+1),"")</f>
        <v/>
      </c>
      <c r="D12" s="20" t="str">
        <f aca="false">IF(AND((0*7+2-WEEKDAY(DATE($V$1,1,1),2)+1)&gt;=1,(0*7+2-WEEKDAY(DATE($V$1,1,1),2)+1)&lt;=DAY(EOMONTH(DATE($V$1,1,1),0))),(0*7+2-WEEKDAY(DATE($V$1,1,1),2)+1),"")</f>
        <v/>
      </c>
      <c r="E12" s="20" t="str">
        <f aca="false">IF(AND((0*7+3-WEEKDAY(DATE($V$1,1,1),2)+1)&gt;=1,(0*7+3-WEEKDAY(DATE($V$1,1,1),2)+1)&lt;=DAY(EOMONTH(DATE($V$1,1,1),0))),(0*7+3-WEEKDAY(DATE($V$1,1,1),2)+1),"")</f>
        <v/>
      </c>
      <c r="F12" s="20" t="str">
        <f aca="false">IF(AND((0*7+4-WEEKDAY(DATE($V$1,1,1),2)+1)&gt;=1,(0*7+4-WEEKDAY(DATE($V$1,1,1),2)+1)&lt;=DAY(EOMONTH(DATE($V$1,1,1),0))),(0*7+4-WEEKDAY(DATE($V$1,1,1),2)+1),"")</f>
        <v/>
      </c>
      <c r="G12" s="20" t="n">
        <f aca="false">IF(AND((0*7+5-WEEKDAY(DATE($V$1,1,1),2)+1)&gt;=1,(0*7+5-WEEKDAY(DATE($V$1,1,1),2)+1)&lt;=DAY(EOMONTH(DATE($V$1,1,1),0))),(0*7+5-WEEKDAY(DATE($V$1,1,1),2)+1),"")</f>
        <v>1</v>
      </c>
      <c r="H12" s="21" t="n">
        <f aca="false">IF(AND((0*7+6-WEEKDAY(DATE($V$1,1,1),2)+1)&gt;=1,(0*7+6-WEEKDAY(DATE($V$1,1,1),2)+1)&lt;=DAY(EOMONTH(DATE($V$1,1,1),0))),(0*7+6-WEEKDAY(DATE($V$1,1,1),2)+1),"")</f>
        <v>2</v>
      </c>
      <c r="I12" s="22" t="n">
        <f aca="false">IF(AND((0*7+7-WEEKDAY(DATE($V$1,1,1),2)+1)&gt;=1,(0*7+7-WEEKDAY(DATE($V$1,1,1),2)+1)&lt;=DAY(EOMONTH(DATE($V$1,1,1),0))),(0*7+7-WEEKDAY(DATE($V$1,1,1),2)+1),"")</f>
        <v>3</v>
      </c>
      <c r="K12" s="19" t="n">
        <f aca="false">IF(AND((0*7+7-WEEKDAY(DATE($V$1,2,1),2)+1)&gt;=1,(0*7+1-WEEKDAY(DATE($V$1,2,1),2)+1)&lt;=DAY(EOMONTH(DATE($V$1,2,1),0))),INT(((DATE($V$1,2,1)-WEEKDAY(DATE($V$1,2,1),2)+1+0*7)-DATE(YEAR((DATE($V$1,2,1)-WEEKDAY(DATE($V$1,2,1),2)+1+0*7)-WEEKDAY((DATE($V$1,2,1)-WEEKDAY(DATE($V$1,2,1),2)+1+0*7)-1)+4),1,3)+WEEKDAY(DATE(YEAR((DATE($V$1,2,1)-WEEKDAY(DATE($V$1,2,1),2)+1+0*7)-WEEKDAY((DATE($V$1,2,1)-WEEKDAY(DATE($V$1,2,1),2)+1+0*7)-1)+4),1,3))+5)/7),"")</f>
        <v>5</v>
      </c>
      <c r="L12" s="20" t="n">
        <f aca="false">IF(AND((0*7+1-WEEKDAY(DATE($V$1,2,1),2)+1)&gt;=1,(0*7+1-WEEKDAY(DATE($V$1,2,1),2)+1)&lt;=DAY(EOMONTH(DATE($V$1,2,1),0))),(0*7+1-WEEKDAY(DATE($V$1,2,1),2)+1),"")</f>
        <v>1</v>
      </c>
      <c r="M12" s="20" t="n">
        <f aca="false">IF(AND((0*7+2-WEEKDAY(DATE($V$1,2,1),2)+1)&gt;=1,(0*7+2-WEEKDAY(DATE($V$1,2,1),2)+1)&lt;=DAY(EOMONTH(DATE($V$1,2,1),0))),(0*7+2-WEEKDAY(DATE($V$1,2,1),2)+1),"")</f>
        <v>2</v>
      </c>
      <c r="N12" s="20" t="n">
        <f aca="false">IF(AND((0*7+3-WEEKDAY(DATE($V$1,2,1),2)+1)&gt;=1,(0*7+3-WEEKDAY(DATE($V$1,2,1),2)+1)&lt;=DAY(EOMONTH(DATE($V$1,2,1),0))),(0*7+3-WEEKDAY(DATE($V$1,2,1),2)+1),"")</f>
        <v>3</v>
      </c>
      <c r="O12" s="20" t="n">
        <f aca="false">IF(AND((0*7+4-WEEKDAY(DATE($V$1,2,1),2)+1)&gt;=1,(0*7+4-WEEKDAY(DATE($V$1,2,1),2)+1)&lt;=DAY(EOMONTH(DATE($V$1,2,1),0))),(0*7+4-WEEKDAY(DATE($V$1,2,1),2)+1),"")</f>
        <v>4</v>
      </c>
      <c r="P12" s="20" t="n">
        <f aca="false">IF(AND((0*7+5-WEEKDAY(DATE($V$1,2,1),2)+1)&gt;=1,(0*7+5-WEEKDAY(DATE($V$1,2,1),2)+1)&lt;=DAY(EOMONTH(DATE($V$1,2,1),0))),(0*7+5-WEEKDAY(DATE($V$1,2,1),2)+1),"")</f>
        <v>5</v>
      </c>
      <c r="Q12" s="21" t="n">
        <f aca="false">IF(AND((0*7+6-WEEKDAY(DATE($V$1,2,1),2)+1)&gt;=1,(0*7+6-WEEKDAY(DATE($V$1,2,1),2)+1)&lt;=DAY(EOMONTH(DATE($V$1,2,1),0))),(0*7+6-WEEKDAY(DATE($V$1,2,1),2)+1),"")</f>
        <v>6</v>
      </c>
      <c r="R12" s="22" t="n">
        <f aca="false">IF(AND((0*7+7-WEEKDAY(DATE($V$1,2,1),2)+1)&gt;=1,(0*7+7-WEEKDAY(DATE($V$1,2,1),2)+1)&lt;=DAY(EOMONTH(DATE($V$1,2,1),0))),(0*7+7-WEEKDAY(DATE($V$1,2,1),2)+1),"")</f>
        <v>7</v>
      </c>
      <c r="T12" s="19" t="n">
        <f aca="false">IF(AND((0*7+7-WEEKDAY(DATE($V$1,3,1),2)+1)&gt;=1,(0*7+1-WEEKDAY(DATE($V$1,3,1),2)+1)&lt;=DAY(EOMONTH(DATE($V$1,3,1),0))),INT(((DATE($V$1,3,1)-WEEKDAY(DATE($V$1,3,1),2)+1+0*7)-DATE(YEAR((DATE($V$1,3,1)-WEEKDAY(DATE($V$1,3,1),2)+1+0*7)-WEEKDAY((DATE($V$1,3,1)-WEEKDAY(DATE($V$1,3,1),2)+1+0*7)-1)+4),1,3)+WEEKDAY(DATE(YEAR((DATE($V$1,3,1)-WEEKDAY(DATE($V$1,3,1),2)+1+0*7)-WEEKDAY((DATE($V$1,3,1)-WEEKDAY(DATE($V$1,3,1),2)+1+0*7)-1)+4),1,3))+5)/7),"")</f>
        <v>9</v>
      </c>
      <c r="U12" s="20" t="n">
        <f aca="false">IF(AND((0*7+1-WEEKDAY(DATE($V$1,3,1),2)+1)&gt;=1,(0*7+1-WEEKDAY(DATE($V$1,3,1),2)+1)&lt;=DAY(EOMONTH(DATE($V$1,3,1),0))),(0*7+1-WEEKDAY(DATE($V$1,3,1),2)+1),"")</f>
        <v>1</v>
      </c>
      <c r="V12" s="20" t="n">
        <f aca="false">IF(AND((0*7+2-WEEKDAY(DATE($V$1,3,1),2)+1)&gt;=1,(0*7+2-WEEKDAY(DATE($V$1,3,1),2)+1)&lt;=DAY(EOMONTH(DATE($V$1,3,1),0))),(0*7+2-WEEKDAY(DATE($V$1,3,1),2)+1),"")</f>
        <v>2</v>
      </c>
      <c r="W12" s="20" t="n">
        <f aca="false">IF(AND((0*7+3-WEEKDAY(DATE($V$1,3,1),2)+1)&gt;=1,(0*7+3-WEEKDAY(DATE($V$1,3,1),2)+1)&lt;=DAY(EOMONTH(DATE($V$1,3,1),0))),(0*7+3-WEEKDAY(DATE($V$1,3,1),2)+1),"")</f>
        <v>3</v>
      </c>
      <c r="X12" s="20" t="n">
        <f aca="false">IF(AND((0*7+4-WEEKDAY(DATE($V$1,3,1),2)+1)&gt;=1,(0*7+4-WEEKDAY(DATE($V$1,3,1),2)+1)&lt;=DAY(EOMONTH(DATE($V$1,3,1),0))),(0*7+4-WEEKDAY(DATE($V$1,3,1),2)+1),"")</f>
        <v>4</v>
      </c>
      <c r="Y12" s="20" t="n">
        <f aca="false">IF(AND((0*7+5-WEEKDAY(DATE($V$1,3,1),2)+1)&gt;=1,(0*7+5-WEEKDAY(DATE($V$1,3,1),2)+1)&lt;=DAY(EOMONTH(DATE($V$1,3,1),0))),(0*7+5-WEEKDAY(DATE($V$1,3,1),2)+1),"")</f>
        <v>5</v>
      </c>
      <c r="Z12" s="21" t="n">
        <f aca="false">IF(AND((0*7+6-WEEKDAY(DATE($V$1,3,1),2)+1)&gt;=1,(0*7+6-WEEKDAY(DATE($V$1,3,1),2)+1)&lt;=DAY(EOMONTH(DATE($V$1,3,1),0))),(0*7+6-WEEKDAY(DATE($V$1,3,1),2)+1),"")</f>
        <v>6</v>
      </c>
      <c r="AA12" s="22" t="n">
        <f aca="false">IF(AND((0*7+7-WEEKDAY(DATE($V$1,3,1),2)+1)&gt;=1,(0*7+7-WEEKDAY(DATE($V$1,3,1),2)+1)&lt;=DAY(EOMONTH(DATE($V$1,3,1),0))),(0*7+7-WEEKDAY(DATE($V$1,3,1),2)+1),"")</f>
        <v>7</v>
      </c>
      <c r="AC12" s="19" t="n">
        <f aca="false">IF(AND((0*7+7-WEEKDAY(DATE($V$1,4,1),2)+1)&gt;=1,(0*7+1-WEEKDAY(DATE($V$1,4,1),2)+1)&lt;=DAY(EOMONTH(DATE($V$1,4,1),0))),INT(((DATE($V$1,4,1)-WEEKDAY(DATE($V$1,4,1),2)+1+0*7)-DATE(YEAR((DATE($V$1,4,1)-WEEKDAY(DATE($V$1,4,1),2)+1+0*7)-WEEKDAY((DATE($V$1,4,1)-WEEKDAY(DATE($V$1,4,1),2)+1+0*7)-1)+4),1,3)+WEEKDAY(DATE(YEAR((DATE($V$1,4,1)-WEEKDAY(DATE($V$1,4,1),2)+1+0*7)-WEEKDAY((DATE($V$1,4,1)-WEEKDAY(DATE($V$1,4,1),2)+1+0*7)-1)+4),1,3))+5)/7),"")</f>
        <v>13</v>
      </c>
      <c r="AD12" s="20" t="str">
        <f aca="false">IF(AND((0*7+1-WEEKDAY(DATE($V$1,4,1),2)+1)&gt;=1,(0*7+1-WEEKDAY(DATE($V$1,4,1),2)+1)&lt;=DAY(EOMONTH(DATE($V$1,4,1),0))),(0*7+1-WEEKDAY(DATE($V$1,4,1),2)+1),"")</f>
        <v/>
      </c>
      <c r="AE12" s="20" t="str">
        <f aca="false">IF(AND((0*7+2-WEEKDAY(DATE($V$1,4,1),2)+1)&gt;=1,(0*7+2-WEEKDAY(DATE($V$1,4,1),2)+1)&lt;=DAY(EOMONTH(DATE($V$1,4,1),0))),(0*7+2-WEEKDAY(DATE($V$1,4,1),2)+1),"")</f>
        <v/>
      </c>
      <c r="AF12" s="20" t="str">
        <f aca="false">IF(AND((0*7+3-WEEKDAY(DATE($V$1,4,1),2)+1)&gt;=1,(0*7+3-WEEKDAY(DATE($V$1,4,1),2)+1)&lt;=DAY(EOMONTH(DATE($V$1,4,1),0))),(0*7+3-WEEKDAY(DATE($V$1,4,1),2)+1),"")</f>
        <v/>
      </c>
      <c r="AG12" s="20" t="n">
        <f aca="false">IF(AND((0*7+4-WEEKDAY(DATE($V$1,4,1),2)+1)&gt;=1,(0*7+4-WEEKDAY(DATE($V$1,4,1),2)+1)&lt;=DAY(EOMONTH(DATE($V$1,4,1),0))),(0*7+4-WEEKDAY(DATE($V$1,4,1),2)+1),"")</f>
        <v>1</v>
      </c>
      <c r="AH12" s="20" t="n">
        <f aca="false">IF(AND((0*7+5-WEEKDAY(DATE($V$1,4,1),2)+1)&gt;=1,(0*7+5-WEEKDAY(DATE($V$1,4,1),2)+1)&lt;=DAY(EOMONTH(DATE($V$1,4,1),0))),(0*7+5-WEEKDAY(DATE($V$1,4,1),2)+1),"")</f>
        <v>2</v>
      </c>
      <c r="AI12" s="21" t="n">
        <f aca="false">IF(AND((0*7+6-WEEKDAY(DATE($V$1,4,1),2)+1)&gt;=1,(0*7+6-WEEKDAY(DATE($V$1,4,1),2)+1)&lt;=DAY(EOMONTH(DATE($V$1,4,1),0))),(0*7+6-WEEKDAY(DATE($V$1,4,1),2)+1),"")</f>
        <v>3</v>
      </c>
      <c r="AJ12" s="22" t="n">
        <f aca="false">IF(AND((0*7+7-WEEKDAY(DATE($V$1,4,1),2)+1)&gt;=1,(0*7+7-WEEKDAY(DATE($V$1,4,1),2)+1)&lt;=DAY(EOMONTH(DATE($V$1,4,1),0))),(0*7+7-WEEKDAY(DATE($V$1,4,1),2)+1),"")</f>
        <v>4</v>
      </c>
    </row>
    <row r="13" customFormat="false" ht="15" hidden="false" customHeight="true" outlineLevel="0" collapsed="false">
      <c r="B13" s="19" t="n">
        <f aca="false">IF(AND((1*7+7-WEEKDAY(DATE($V$1,1,1),2)+1)&gt;=1,(1*7+1-WEEKDAY(DATE($V$1,1,1),2)+1)&lt;=DAY(EOMONTH(DATE($V$1,1,1),0))),INT(((DATE($V$1,1,1)-WEEKDAY(DATE($V$1,1,1),2)+1+1*7)-DATE(YEAR((DATE($V$1,1,1)-WEEKDAY(DATE($V$1,1,1),2)+1+1*7)-WEEKDAY((DATE($V$1,1,1)-WEEKDAY(DATE($V$1,1,1),2)+1+1*7)-1)+4),1,3)+WEEKDAY(DATE(YEAR((DATE($V$1,1,1)-WEEKDAY(DATE($V$1,1,1),2)+1+1*7)-WEEKDAY((DATE($V$1,1,1)-WEEKDAY(DATE($V$1,1,1),2)+1+1*7)-1)+4),1,3))+5)/7),"")</f>
        <v>1</v>
      </c>
      <c r="C13" s="20" t="n">
        <f aca="false">IF(AND((1*7+1-WEEKDAY(DATE($V$1,1,1),2)+1)&gt;=1,(1*7+1-WEEKDAY(DATE($V$1,1,1),2)+1)&lt;=DAY(EOMONTH(DATE($V$1,1,1),0))),(1*7+1-WEEKDAY(DATE($V$1,1,1),2)+1),"")</f>
        <v>4</v>
      </c>
      <c r="D13" s="20" t="n">
        <f aca="false">IF(AND((1*7+2-WEEKDAY(DATE($V$1,1,1),2)+1)&gt;=1,(1*7+2-WEEKDAY(DATE($V$1,1,1),2)+1)&lt;=DAY(EOMONTH(DATE($V$1,1,1),0))),(1*7+2-WEEKDAY(DATE($V$1,1,1),2)+1),"")</f>
        <v>5</v>
      </c>
      <c r="E13" s="20" t="n">
        <f aca="false">IF(AND((1*7+3-WEEKDAY(DATE($V$1,1,1),2)+1)&gt;=1,(1*7+3-WEEKDAY(DATE($V$1,1,1),2)+1)&lt;=DAY(EOMONTH(DATE($V$1,1,1),0))),(1*7+3-WEEKDAY(DATE($V$1,1,1),2)+1),"")</f>
        <v>6</v>
      </c>
      <c r="F13" s="20" t="n">
        <f aca="false">IF(AND((1*7+4-WEEKDAY(DATE($V$1,1,1),2)+1)&gt;=1,(1*7+4-WEEKDAY(DATE($V$1,1,1),2)+1)&lt;=DAY(EOMONTH(DATE($V$1,1,1),0))),(1*7+4-WEEKDAY(DATE($V$1,1,1),2)+1),"")</f>
        <v>7</v>
      </c>
      <c r="G13" s="20" t="n">
        <f aca="false">IF(AND((1*7+5-WEEKDAY(DATE($V$1,1,1),2)+1)&gt;=1,(1*7+5-WEEKDAY(DATE($V$1,1,1),2)+1)&lt;=DAY(EOMONTH(DATE($V$1,1,1),0))),(1*7+5-WEEKDAY(DATE($V$1,1,1),2)+1),"")</f>
        <v>8</v>
      </c>
      <c r="H13" s="21" t="n">
        <f aca="false">IF(AND((1*7+6-WEEKDAY(DATE($V$1,1,1),2)+1)&gt;=1,(1*7+6-WEEKDAY(DATE($V$1,1,1),2)+1)&lt;=DAY(EOMONTH(DATE($V$1,1,1),0))),(1*7+6-WEEKDAY(DATE($V$1,1,1),2)+1),"")</f>
        <v>9</v>
      </c>
      <c r="I13" s="22" t="n">
        <f aca="false">IF(AND((1*7+7-WEEKDAY(DATE($V$1,1,1),2)+1)&gt;=1,(1*7+7-WEEKDAY(DATE($V$1,1,1),2)+1)&lt;=DAY(EOMONTH(DATE($V$1,1,1),0))),(1*7+7-WEEKDAY(DATE($V$1,1,1),2)+1),"")</f>
        <v>10</v>
      </c>
      <c r="K13" s="19" t="n">
        <f aca="false">IF(AND((1*7+7-WEEKDAY(DATE($V$1,2,1),2)+1)&gt;=1,(1*7+1-WEEKDAY(DATE($V$1,2,1),2)+1)&lt;=DAY(EOMONTH(DATE($V$1,2,1),0))),INT(((DATE($V$1,2,1)-WEEKDAY(DATE($V$1,2,1),2)+1+1*7)-DATE(YEAR((DATE($V$1,2,1)-WEEKDAY(DATE($V$1,2,1),2)+1+1*7)-WEEKDAY((DATE($V$1,2,1)-WEEKDAY(DATE($V$1,2,1),2)+1+1*7)-1)+4),1,3)+WEEKDAY(DATE(YEAR((DATE($V$1,2,1)-WEEKDAY(DATE($V$1,2,1),2)+1+1*7)-WEEKDAY((DATE($V$1,2,1)-WEEKDAY(DATE($V$1,2,1),2)+1+1*7)-1)+4),1,3))+5)/7),"")</f>
        <v>6</v>
      </c>
      <c r="L13" s="20" t="n">
        <f aca="false">IF(AND((1*7+1-WEEKDAY(DATE($V$1,2,1),2)+1)&gt;=1,(1*7+1-WEEKDAY(DATE($V$1,2,1),2)+1)&lt;=DAY(EOMONTH(DATE($V$1,2,1),0))),(1*7+1-WEEKDAY(DATE($V$1,2,1),2)+1),"")</f>
        <v>8</v>
      </c>
      <c r="M13" s="20" t="n">
        <f aca="false">IF(AND((1*7+2-WEEKDAY(DATE($V$1,2,1),2)+1)&gt;=1,(1*7+2-WEEKDAY(DATE($V$1,2,1),2)+1)&lt;=DAY(EOMONTH(DATE($V$1,2,1),0))),(1*7+2-WEEKDAY(DATE($V$1,2,1),2)+1),"")</f>
        <v>9</v>
      </c>
      <c r="N13" s="20" t="n">
        <f aca="false">IF(AND((1*7+3-WEEKDAY(DATE($V$1,2,1),2)+1)&gt;=1,(1*7+3-WEEKDAY(DATE($V$1,2,1),2)+1)&lt;=DAY(EOMONTH(DATE($V$1,2,1),0))),(1*7+3-WEEKDAY(DATE($V$1,2,1),2)+1),"")</f>
        <v>10</v>
      </c>
      <c r="O13" s="20" t="n">
        <f aca="false">IF(AND((1*7+4-WEEKDAY(DATE($V$1,2,1),2)+1)&gt;=1,(1*7+4-WEEKDAY(DATE($V$1,2,1),2)+1)&lt;=DAY(EOMONTH(DATE($V$1,2,1),0))),(1*7+4-WEEKDAY(DATE($V$1,2,1),2)+1),"")</f>
        <v>11</v>
      </c>
      <c r="P13" s="20" t="n">
        <f aca="false">IF(AND((1*7+5-WEEKDAY(DATE($V$1,2,1),2)+1)&gt;=1,(1*7+5-WEEKDAY(DATE($V$1,2,1),2)+1)&lt;=DAY(EOMONTH(DATE($V$1,2,1),0))),(1*7+5-WEEKDAY(DATE($V$1,2,1),2)+1),"")</f>
        <v>12</v>
      </c>
      <c r="Q13" s="21" t="n">
        <f aca="false">IF(AND((1*7+6-WEEKDAY(DATE($V$1,2,1),2)+1)&gt;=1,(1*7+6-WEEKDAY(DATE($V$1,2,1),2)+1)&lt;=DAY(EOMONTH(DATE($V$1,2,1),0))),(1*7+6-WEEKDAY(DATE($V$1,2,1),2)+1),"")</f>
        <v>13</v>
      </c>
      <c r="R13" s="22" t="n">
        <f aca="false">IF(AND((1*7+7-WEEKDAY(DATE($V$1,2,1),2)+1)&gt;=1,(1*7+7-WEEKDAY(DATE($V$1,2,1),2)+1)&lt;=DAY(EOMONTH(DATE($V$1,2,1),0))),(1*7+7-WEEKDAY(DATE($V$1,2,1),2)+1),"")</f>
        <v>14</v>
      </c>
      <c r="T13" s="19" t="n">
        <f aca="false">IF(AND((1*7+7-WEEKDAY(DATE($V$1,3,1),2)+1)&gt;=1,(1*7+1-WEEKDAY(DATE($V$1,3,1),2)+1)&lt;=DAY(EOMONTH(DATE($V$1,3,1),0))),INT(((DATE($V$1,3,1)-WEEKDAY(DATE($V$1,3,1),2)+1+1*7)-DATE(YEAR((DATE($V$1,3,1)-WEEKDAY(DATE($V$1,3,1),2)+1+1*7)-WEEKDAY((DATE($V$1,3,1)-WEEKDAY(DATE($V$1,3,1),2)+1+1*7)-1)+4),1,3)+WEEKDAY(DATE(YEAR((DATE($V$1,3,1)-WEEKDAY(DATE($V$1,3,1),2)+1+1*7)-WEEKDAY((DATE($V$1,3,1)-WEEKDAY(DATE($V$1,3,1),2)+1+1*7)-1)+4),1,3))+5)/7),"")</f>
        <v>10</v>
      </c>
      <c r="U13" s="20" t="n">
        <f aca="false">IF(AND((1*7+1-WEEKDAY(DATE($V$1,3,1),2)+1)&gt;=1,(1*7+1-WEEKDAY(DATE($V$1,3,1),2)+1)&lt;=DAY(EOMONTH(DATE($V$1,3,1),0))),(1*7+1-WEEKDAY(DATE($V$1,3,1),2)+1),"")</f>
        <v>8</v>
      </c>
      <c r="V13" s="20" t="n">
        <f aca="false">IF(AND((1*7+2-WEEKDAY(DATE($V$1,3,1),2)+1)&gt;=1,(1*7+2-WEEKDAY(DATE($V$1,3,1),2)+1)&lt;=DAY(EOMONTH(DATE($V$1,3,1),0))),(1*7+2-WEEKDAY(DATE($V$1,3,1),2)+1),"")</f>
        <v>9</v>
      </c>
      <c r="W13" s="20" t="n">
        <f aca="false">IF(AND((1*7+3-WEEKDAY(DATE($V$1,3,1),2)+1)&gt;=1,(1*7+3-WEEKDAY(DATE($V$1,3,1),2)+1)&lt;=DAY(EOMONTH(DATE($V$1,3,1),0))),(1*7+3-WEEKDAY(DATE($V$1,3,1),2)+1),"")</f>
        <v>10</v>
      </c>
      <c r="X13" s="20" t="n">
        <f aca="false">IF(AND((1*7+4-WEEKDAY(DATE($V$1,3,1),2)+1)&gt;=1,(1*7+4-WEEKDAY(DATE($V$1,3,1),2)+1)&lt;=DAY(EOMONTH(DATE($V$1,3,1),0))),(1*7+4-WEEKDAY(DATE($V$1,3,1),2)+1),"")</f>
        <v>11</v>
      </c>
      <c r="Y13" s="20" t="n">
        <f aca="false">IF(AND((1*7+5-WEEKDAY(DATE($V$1,3,1),2)+1)&gt;=1,(1*7+5-WEEKDAY(DATE($V$1,3,1),2)+1)&lt;=DAY(EOMONTH(DATE($V$1,3,1),0))),(1*7+5-WEEKDAY(DATE($V$1,3,1),2)+1),"")</f>
        <v>12</v>
      </c>
      <c r="Z13" s="21" t="n">
        <f aca="false">IF(AND((1*7+6-WEEKDAY(DATE($V$1,3,1),2)+1)&gt;=1,(1*7+6-WEEKDAY(DATE($V$1,3,1),2)+1)&lt;=DAY(EOMONTH(DATE($V$1,3,1),0))),(1*7+6-WEEKDAY(DATE($V$1,3,1),2)+1),"")</f>
        <v>13</v>
      </c>
      <c r="AA13" s="22" t="n">
        <f aca="false">IF(AND((1*7+7-WEEKDAY(DATE($V$1,3,1),2)+1)&gt;=1,(1*7+7-WEEKDAY(DATE($V$1,3,1),2)+1)&lt;=DAY(EOMONTH(DATE($V$1,3,1),0))),(1*7+7-WEEKDAY(DATE($V$1,3,1),2)+1),"")</f>
        <v>14</v>
      </c>
      <c r="AC13" s="19" t="n">
        <f aca="false">IF(AND((1*7+7-WEEKDAY(DATE($V$1,4,1),2)+1)&gt;=1,(1*7+1-WEEKDAY(DATE($V$1,4,1),2)+1)&lt;=DAY(EOMONTH(DATE($V$1,4,1),0))),INT(((DATE($V$1,4,1)-WEEKDAY(DATE($V$1,4,1),2)+1+1*7)-DATE(YEAR((DATE($V$1,4,1)-WEEKDAY(DATE($V$1,4,1),2)+1+1*7)-WEEKDAY((DATE($V$1,4,1)-WEEKDAY(DATE($V$1,4,1),2)+1+1*7)-1)+4),1,3)+WEEKDAY(DATE(YEAR((DATE($V$1,4,1)-WEEKDAY(DATE($V$1,4,1),2)+1+1*7)-WEEKDAY((DATE($V$1,4,1)-WEEKDAY(DATE($V$1,4,1),2)+1+1*7)-1)+4),1,3))+5)/7),"")</f>
        <v>14</v>
      </c>
      <c r="AD13" s="20" t="n">
        <f aca="false">IF(AND((1*7+1-WEEKDAY(DATE($V$1,4,1),2)+1)&gt;=1,(1*7+1-WEEKDAY(DATE($V$1,4,1),2)+1)&lt;=DAY(EOMONTH(DATE($V$1,4,1),0))),(1*7+1-WEEKDAY(DATE($V$1,4,1),2)+1),"")</f>
        <v>5</v>
      </c>
      <c r="AE13" s="20" t="n">
        <f aca="false">IF(AND((1*7+2-WEEKDAY(DATE($V$1,4,1),2)+1)&gt;=1,(1*7+2-WEEKDAY(DATE($V$1,4,1),2)+1)&lt;=DAY(EOMONTH(DATE($V$1,4,1),0))),(1*7+2-WEEKDAY(DATE($V$1,4,1),2)+1),"")</f>
        <v>6</v>
      </c>
      <c r="AF13" s="20" t="n">
        <f aca="false">IF(AND((1*7+3-WEEKDAY(DATE($V$1,4,1),2)+1)&gt;=1,(1*7+3-WEEKDAY(DATE($V$1,4,1),2)+1)&lt;=DAY(EOMONTH(DATE($V$1,4,1),0))),(1*7+3-WEEKDAY(DATE($V$1,4,1),2)+1),"")</f>
        <v>7</v>
      </c>
      <c r="AG13" s="20" t="n">
        <f aca="false">IF(AND((1*7+4-WEEKDAY(DATE($V$1,4,1),2)+1)&gt;=1,(1*7+4-WEEKDAY(DATE($V$1,4,1),2)+1)&lt;=DAY(EOMONTH(DATE($V$1,4,1),0))),(1*7+4-WEEKDAY(DATE($V$1,4,1),2)+1),"")</f>
        <v>8</v>
      </c>
      <c r="AH13" s="20" t="n">
        <f aca="false">IF(AND((1*7+5-WEEKDAY(DATE($V$1,4,1),2)+1)&gt;=1,(1*7+5-WEEKDAY(DATE($V$1,4,1),2)+1)&lt;=DAY(EOMONTH(DATE($V$1,4,1),0))),(1*7+5-WEEKDAY(DATE($V$1,4,1),2)+1),"")</f>
        <v>9</v>
      </c>
      <c r="AI13" s="21" t="n">
        <f aca="false">IF(AND((1*7+6-WEEKDAY(DATE($V$1,4,1),2)+1)&gt;=1,(1*7+6-WEEKDAY(DATE($V$1,4,1),2)+1)&lt;=DAY(EOMONTH(DATE($V$1,4,1),0))),(1*7+6-WEEKDAY(DATE($V$1,4,1),2)+1),"")</f>
        <v>10</v>
      </c>
      <c r="AJ13" s="22" t="n">
        <f aca="false">IF(AND((1*7+7-WEEKDAY(DATE($V$1,4,1),2)+1)&gt;=1,(1*7+7-WEEKDAY(DATE($V$1,4,1),2)+1)&lt;=DAY(EOMONTH(DATE($V$1,4,1),0))),(1*7+7-WEEKDAY(DATE($V$1,4,1),2)+1),"")</f>
        <v>11</v>
      </c>
    </row>
    <row r="14" customFormat="false" ht="15" hidden="false" customHeight="true" outlineLevel="0" collapsed="false">
      <c r="B14" s="19" t="n">
        <f aca="false">IF(AND((2*7+7-WEEKDAY(DATE($V$1,1,1),2)+1)&gt;=1,(2*7+1-WEEKDAY(DATE($V$1,1,1),2)+1)&lt;=DAY(EOMONTH(DATE($V$1,1,1),0))),INT(((DATE($V$1,1,1)-WEEKDAY(DATE($V$1,1,1),2)+1+2*7)-DATE(YEAR((DATE($V$1,1,1)-WEEKDAY(DATE($V$1,1,1),2)+1+2*7)-WEEKDAY((DATE($V$1,1,1)-WEEKDAY(DATE($V$1,1,1),2)+1+2*7)-1)+4),1,3)+WEEKDAY(DATE(YEAR((DATE($V$1,1,1)-WEEKDAY(DATE($V$1,1,1),2)+1+2*7)-WEEKDAY((DATE($V$1,1,1)-WEEKDAY(DATE($V$1,1,1),2)+1+2*7)-1)+4),1,3))+5)/7),"")</f>
        <v>2</v>
      </c>
      <c r="C14" s="20" t="n">
        <f aca="false">IF(AND((2*7+1-WEEKDAY(DATE($V$1,1,1),2)+1)&gt;=1,(2*7+1-WEEKDAY(DATE($V$1,1,1),2)+1)&lt;=DAY(EOMONTH(DATE($V$1,1,1),0))),(2*7+1-WEEKDAY(DATE($V$1,1,1),2)+1),"")</f>
        <v>11</v>
      </c>
      <c r="D14" s="20" t="n">
        <f aca="false">IF(AND((2*7+2-WEEKDAY(DATE($V$1,1,1),2)+1)&gt;=1,(2*7+2-WEEKDAY(DATE($V$1,1,1),2)+1)&lt;=DAY(EOMONTH(DATE($V$1,1,1),0))),(2*7+2-WEEKDAY(DATE($V$1,1,1),2)+1),"")</f>
        <v>12</v>
      </c>
      <c r="E14" s="20" t="n">
        <f aca="false">IF(AND((2*7+3-WEEKDAY(DATE($V$1,1,1),2)+1)&gt;=1,(2*7+3-WEEKDAY(DATE($V$1,1,1),2)+1)&lt;=DAY(EOMONTH(DATE($V$1,1,1),0))),(2*7+3-WEEKDAY(DATE($V$1,1,1),2)+1),"")</f>
        <v>13</v>
      </c>
      <c r="F14" s="20" t="n">
        <f aca="false">IF(AND((2*7+4-WEEKDAY(DATE($V$1,1,1),2)+1)&gt;=1,(2*7+4-WEEKDAY(DATE($V$1,1,1),2)+1)&lt;=DAY(EOMONTH(DATE($V$1,1,1),0))),(2*7+4-WEEKDAY(DATE($V$1,1,1),2)+1),"")</f>
        <v>14</v>
      </c>
      <c r="G14" s="20" t="n">
        <f aca="false">IF(AND((2*7+5-WEEKDAY(DATE($V$1,1,1),2)+1)&gt;=1,(2*7+5-WEEKDAY(DATE($V$1,1,1),2)+1)&lt;=DAY(EOMONTH(DATE($V$1,1,1),0))),(2*7+5-WEEKDAY(DATE($V$1,1,1),2)+1),"")</f>
        <v>15</v>
      </c>
      <c r="H14" s="21" t="n">
        <f aca="false">IF(AND((2*7+6-WEEKDAY(DATE($V$1,1,1),2)+1)&gt;=1,(2*7+6-WEEKDAY(DATE($V$1,1,1),2)+1)&lt;=DAY(EOMONTH(DATE($V$1,1,1),0))),(2*7+6-WEEKDAY(DATE($V$1,1,1),2)+1),"")</f>
        <v>16</v>
      </c>
      <c r="I14" s="22" t="n">
        <f aca="false">IF(AND((2*7+7-WEEKDAY(DATE($V$1,1,1),2)+1)&gt;=1,(2*7+7-WEEKDAY(DATE($V$1,1,1),2)+1)&lt;=DAY(EOMONTH(DATE($V$1,1,1),0))),(2*7+7-WEEKDAY(DATE($V$1,1,1),2)+1),"")</f>
        <v>17</v>
      </c>
      <c r="K14" s="19" t="n">
        <f aca="false">IF(AND((2*7+7-WEEKDAY(DATE($V$1,2,1),2)+1)&gt;=1,(2*7+1-WEEKDAY(DATE($V$1,2,1),2)+1)&lt;=DAY(EOMONTH(DATE($V$1,2,1),0))),INT(((DATE($V$1,2,1)-WEEKDAY(DATE($V$1,2,1),2)+1+2*7)-DATE(YEAR((DATE($V$1,2,1)-WEEKDAY(DATE($V$1,2,1),2)+1+2*7)-WEEKDAY((DATE($V$1,2,1)-WEEKDAY(DATE($V$1,2,1),2)+1+2*7)-1)+4),1,3)+WEEKDAY(DATE(YEAR((DATE($V$1,2,1)-WEEKDAY(DATE($V$1,2,1),2)+1+2*7)-WEEKDAY((DATE($V$1,2,1)-WEEKDAY(DATE($V$1,2,1),2)+1+2*7)-1)+4),1,3))+5)/7),"")</f>
        <v>7</v>
      </c>
      <c r="L14" s="20" t="n">
        <f aca="false">IF(AND((2*7+1-WEEKDAY(DATE($V$1,2,1),2)+1)&gt;=1,(2*7+1-WEEKDAY(DATE($V$1,2,1),2)+1)&lt;=DAY(EOMONTH(DATE($V$1,2,1),0))),(2*7+1-WEEKDAY(DATE($V$1,2,1),2)+1),"")</f>
        <v>15</v>
      </c>
      <c r="M14" s="20" t="n">
        <f aca="false">IF(AND((2*7+2-WEEKDAY(DATE($V$1,2,1),2)+1)&gt;=1,(2*7+2-WEEKDAY(DATE($V$1,2,1),2)+1)&lt;=DAY(EOMONTH(DATE($V$1,2,1),0))),(2*7+2-WEEKDAY(DATE($V$1,2,1),2)+1),"")</f>
        <v>16</v>
      </c>
      <c r="N14" s="20" t="n">
        <f aca="false">IF(AND((2*7+3-WEEKDAY(DATE($V$1,2,1),2)+1)&gt;=1,(2*7+3-WEEKDAY(DATE($V$1,2,1),2)+1)&lt;=DAY(EOMONTH(DATE($V$1,2,1),0))),(2*7+3-WEEKDAY(DATE($V$1,2,1),2)+1),"")</f>
        <v>17</v>
      </c>
      <c r="O14" s="20" t="n">
        <f aca="false">IF(AND((2*7+4-WEEKDAY(DATE($V$1,2,1),2)+1)&gt;=1,(2*7+4-WEEKDAY(DATE($V$1,2,1),2)+1)&lt;=DAY(EOMONTH(DATE($V$1,2,1),0))),(2*7+4-WEEKDAY(DATE($V$1,2,1),2)+1),"")</f>
        <v>18</v>
      </c>
      <c r="P14" s="20" t="n">
        <f aca="false">IF(AND((2*7+5-WEEKDAY(DATE($V$1,2,1),2)+1)&gt;=1,(2*7+5-WEEKDAY(DATE($V$1,2,1),2)+1)&lt;=DAY(EOMONTH(DATE($V$1,2,1),0))),(2*7+5-WEEKDAY(DATE($V$1,2,1),2)+1),"")</f>
        <v>19</v>
      </c>
      <c r="Q14" s="21" t="n">
        <f aca="false">IF(AND((2*7+6-WEEKDAY(DATE($V$1,2,1),2)+1)&gt;=1,(2*7+6-WEEKDAY(DATE($V$1,2,1),2)+1)&lt;=DAY(EOMONTH(DATE($V$1,2,1),0))),(2*7+6-WEEKDAY(DATE($V$1,2,1),2)+1),"")</f>
        <v>20</v>
      </c>
      <c r="R14" s="22" t="n">
        <f aca="false">IF(AND((2*7+7-WEEKDAY(DATE($V$1,2,1),2)+1)&gt;=1,(2*7+7-WEEKDAY(DATE($V$1,2,1),2)+1)&lt;=DAY(EOMONTH(DATE($V$1,2,1),0))),(2*7+7-WEEKDAY(DATE($V$1,2,1),2)+1),"")</f>
        <v>21</v>
      </c>
      <c r="T14" s="19" t="n">
        <f aca="false">IF(AND((2*7+7-WEEKDAY(DATE($V$1,3,1),2)+1)&gt;=1,(2*7+1-WEEKDAY(DATE($V$1,3,1),2)+1)&lt;=DAY(EOMONTH(DATE($V$1,3,1),0))),INT(((DATE($V$1,3,1)-WEEKDAY(DATE($V$1,3,1),2)+1+2*7)-DATE(YEAR((DATE($V$1,3,1)-WEEKDAY(DATE($V$1,3,1),2)+1+2*7)-WEEKDAY((DATE($V$1,3,1)-WEEKDAY(DATE($V$1,3,1),2)+1+2*7)-1)+4),1,3)+WEEKDAY(DATE(YEAR((DATE($V$1,3,1)-WEEKDAY(DATE($V$1,3,1),2)+1+2*7)-WEEKDAY((DATE($V$1,3,1)-WEEKDAY(DATE($V$1,3,1),2)+1+2*7)-1)+4),1,3))+5)/7),"")</f>
        <v>11</v>
      </c>
      <c r="U14" s="20" t="n">
        <f aca="false">IF(AND((2*7+1-WEEKDAY(DATE($V$1,3,1),2)+1)&gt;=1,(2*7+1-WEEKDAY(DATE($V$1,3,1),2)+1)&lt;=DAY(EOMONTH(DATE($V$1,3,1),0))),(2*7+1-WEEKDAY(DATE($V$1,3,1),2)+1),"")</f>
        <v>15</v>
      </c>
      <c r="V14" s="20" t="n">
        <f aca="false">IF(AND((2*7+2-WEEKDAY(DATE($V$1,3,1),2)+1)&gt;=1,(2*7+2-WEEKDAY(DATE($V$1,3,1),2)+1)&lt;=DAY(EOMONTH(DATE($V$1,3,1),0))),(2*7+2-WEEKDAY(DATE($V$1,3,1),2)+1),"")</f>
        <v>16</v>
      </c>
      <c r="W14" s="20" t="n">
        <f aca="false">IF(AND((2*7+3-WEEKDAY(DATE($V$1,3,1),2)+1)&gt;=1,(2*7+3-WEEKDAY(DATE($V$1,3,1),2)+1)&lt;=DAY(EOMONTH(DATE($V$1,3,1),0))),(2*7+3-WEEKDAY(DATE($V$1,3,1),2)+1),"")</f>
        <v>17</v>
      </c>
      <c r="X14" s="20" t="n">
        <f aca="false">IF(AND((2*7+4-WEEKDAY(DATE($V$1,3,1),2)+1)&gt;=1,(2*7+4-WEEKDAY(DATE($V$1,3,1),2)+1)&lt;=DAY(EOMONTH(DATE($V$1,3,1),0))),(2*7+4-WEEKDAY(DATE($V$1,3,1),2)+1),"")</f>
        <v>18</v>
      </c>
      <c r="Y14" s="20" t="n">
        <f aca="false">IF(AND((2*7+5-WEEKDAY(DATE($V$1,3,1),2)+1)&gt;=1,(2*7+5-WEEKDAY(DATE($V$1,3,1),2)+1)&lt;=DAY(EOMONTH(DATE($V$1,3,1),0))),(2*7+5-WEEKDAY(DATE($V$1,3,1),2)+1),"")</f>
        <v>19</v>
      </c>
      <c r="Z14" s="21" t="n">
        <f aca="false">IF(AND((2*7+6-WEEKDAY(DATE($V$1,3,1),2)+1)&gt;=1,(2*7+6-WEEKDAY(DATE($V$1,3,1),2)+1)&lt;=DAY(EOMONTH(DATE($V$1,3,1),0))),(2*7+6-WEEKDAY(DATE($V$1,3,1),2)+1),"")</f>
        <v>20</v>
      </c>
      <c r="AA14" s="22" t="n">
        <f aca="false">IF(AND((2*7+7-WEEKDAY(DATE($V$1,3,1),2)+1)&gt;=1,(2*7+7-WEEKDAY(DATE($V$1,3,1),2)+1)&lt;=DAY(EOMONTH(DATE($V$1,3,1),0))),(2*7+7-WEEKDAY(DATE($V$1,3,1),2)+1),"")</f>
        <v>21</v>
      </c>
      <c r="AC14" s="19" t="n">
        <f aca="false">IF(AND((2*7+7-WEEKDAY(DATE($V$1,4,1),2)+1)&gt;=1,(2*7+1-WEEKDAY(DATE($V$1,4,1),2)+1)&lt;=DAY(EOMONTH(DATE($V$1,4,1),0))),INT(((DATE($V$1,4,1)-WEEKDAY(DATE($V$1,4,1),2)+1+2*7)-DATE(YEAR((DATE($V$1,4,1)-WEEKDAY(DATE($V$1,4,1),2)+1+2*7)-WEEKDAY((DATE($V$1,4,1)-WEEKDAY(DATE($V$1,4,1),2)+1+2*7)-1)+4),1,3)+WEEKDAY(DATE(YEAR((DATE($V$1,4,1)-WEEKDAY(DATE($V$1,4,1),2)+1+2*7)-WEEKDAY((DATE($V$1,4,1)-WEEKDAY(DATE($V$1,4,1),2)+1+2*7)-1)+4),1,3))+5)/7),"")</f>
        <v>15</v>
      </c>
      <c r="AD14" s="20" t="n">
        <f aca="false">IF(AND((2*7+1-WEEKDAY(DATE($V$1,4,1),2)+1)&gt;=1,(2*7+1-WEEKDAY(DATE($V$1,4,1),2)+1)&lt;=DAY(EOMONTH(DATE($V$1,4,1),0))),(2*7+1-WEEKDAY(DATE($V$1,4,1),2)+1),"")</f>
        <v>12</v>
      </c>
      <c r="AE14" s="20" t="n">
        <f aca="false">IF(AND((2*7+2-WEEKDAY(DATE($V$1,4,1),2)+1)&gt;=1,(2*7+2-WEEKDAY(DATE($V$1,4,1),2)+1)&lt;=DAY(EOMONTH(DATE($V$1,4,1),0))),(2*7+2-WEEKDAY(DATE($V$1,4,1),2)+1),"")</f>
        <v>13</v>
      </c>
      <c r="AF14" s="20" t="n">
        <f aca="false">IF(AND((2*7+3-WEEKDAY(DATE($V$1,4,1),2)+1)&gt;=1,(2*7+3-WEEKDAY(DATE($V$1,4,1),2)+1)&lt;=DAY(EOMONTH(DATE($V$1,4,1),0))),(2*7+3-WEEKDAY(DATE($V$1,4,1),2)+1),"")</f>
        <v>14</v>
      </c>
      <c r="AG14" s="20" t="n">
        <f aca="false">IF(AND((2*7+4-WEEKDAY(DATE($V$1,4,1),2)+1)&gt;=1,(2*7+4-WEEKDAY(DATE($V$1,4,1),2)+1)&lt;=DAY(EOMONTH(DATE($V$1,4,1),0))),(2*7+4-WEEKDAY(DATE($V$1,4,1),2)+1),"")</f>
        <v>15</v>
      </c>
      <c r="AH14" s="20" t="n">
        <f aca="false">IF(AND((2*7+5-WEEKDAY(DATE($V$1,4,1),2)+1)&gt;=1,(2*7+5-WEEKDAY(DATE($V$1,4,1),2)+1)&lt;=DAY(EOMONTH(DATE($V$1,4,1),0))),(2*7+5-WEEKDAY(DATE($V$1,4,1),2)+1),"")</f>
        <v>16</v>
      </c>
      <c r="AI14" s="21" t="n">
        <f aca="false">IF(AND((2*7+6-WEEKDAY(DATE($V$1,4,1),2)+1)&gt;=1,(2*7+6-WEEKDAY(DATE($V$1,4,1),2)+1)&lt;=DAY(EOMONTH(DATE($V$1,4,1),0))),(2*7+6-WEEKDAY(DATE($V$1,4,1),2)+1),"")</f>
        <v>17</v>
      </c>
      <c r="AJ14" s="22" t="n">
        <f aca="false">IF(AND((2*7+7-WEEKDAY(DATE($V$1,4,1),2)+1)&gt;=1,(2*7+7-WEEKDAY(DATE($V$1,4,1),2)+1)&lt;=DAY(EOMONTH(DATE($V$1,4,1),0))),(2*7+7-WEEKDAY(DATE($V$1,4,1),2)+1),"")</f>
        <v>18</v>
      </c>
    </row>
    <row r="15" customFormat="false" ht="15" hidden="false" customHeight="true" outlineLevel="0" collapsed="false">
      <c r="B15" s="19" t="n">
        <f aca="false">IF(AND((3*7+7-WEEKDAY(DATE($V$1,1,1),2)+1)&gt;=1,(3*7+1-WEEKDAY(DATE($V$1,1,1),2)+1)&lt;=DAY(EOMONTH(DATE($V$1,1,1),0))),INT(((DATE($V$1,1,1)-WEEKDAY(DATE($V$1,1,1),2)+1+3*7)-DATE(YEAR((DATE($V$1,1,1)-WEEKDAY(DATE($V$1,1,1),2)+1+3*7)-WEEKDAY((DATE($V$1,1,1)-WEEKDAY(DATE($V$1,1,1),2)+1+3*7)-1)+4),1,3)+WEEKDAY(DATE(YEAR((DATE($V$1,1,1)-WEEKDAY(DATE($V$1,1,1),2)+1+3*7)-WEEKDAY((DATE($V$1,1,1)-WEEKDAY(DATE($V$1,1,1),2)+1+3*7)-1)+4),1,3))+5)/7),"")</f>
        <v>3</v>
      </c>
      <c r="C15" s="20" t="n">
        <f aca="false">IF(AND((3*7+1-WEEKDAY(DATE($V$1,1,1),2)+1)&gt;=1,(3*7+1-WEEKDAY(DATE($V$1,1,1),2)+1)&lt;=DAY(EOMONTH(DATE($V$1,1,1),0))),(3*7+1-WEEKDAY(DATE($V$1,1,1),2)+1),"")</f>
        <v>18</v>
      </c>
      <c r="D15" s="20" t="n">
        <f aca="false">IF(AND((3*7+2-WEEKDAY(DATE($V$1,1,1),2)+1)&gt;=1,(3*7+2-WEEKDAY(DATE($V$1,1,1),2)+1)&lt;=DAY(EOMONTH(DATE($V$1,1,1),0))),(3*7+2-WEEKDAY(DATE($V$1,1,1),2)+1),"")</f>
        <v>19</v>
      </c>
      <c r="E15" s="20" t="n">
        <f aca="false">IF(AND((3*7+3-WEEKDAY(DATE($V$1,1,1),2)+1)&gt;=1,(3*7+3-WEEKDAY(DATE($V$1,1,1),2)+1)&lt;=DAY(EOMONTH(DATE($V$1,1,1),0))),(3*7+3-WEEKDAY(DATE($V$1,1,1),2)+1),"")</f>
        <v>20</v>
      </c>
      <c r="F15" s="20" t="n">
        <f aca="false">IF(AND((3*7+4-WEEKDAY(DATE($V$1,1,1),2)+1)&gt;=1,(3*7+4-WEEKDAY(DATE($V$1,1,1),2)+1)&lt;=DAY(EOMONTH(DATE($V$1,1,1),0))),(3*7+4-WEEKDAY(DATE($V$1,1,1),2)+1),"")</f>
        <v>21</v>
      </c>
      <c r="G15" s="20" t="n">
        <f aca="false">IF(AND((3*7+5-WEEKDAY(DATE($V$1,1,1),2)+1)&gt;=1,(3*7+5-WEEKDAY(DATE($V$1,1,1),2)+1)&lt;=DAY(EOMONTH(DATE($V$1,1,1),0))),(3*7+5-WEEKDAY(DATE($V$1,1,1),2)+1),"")</f>
        <v>22</v>
      </c>
      <c r="H15" s="21" t="n">
        <f aca="false">IF(AND((3*7+6-WEEKDAY(DATE($V$1,1,1),2)+1)&gt;=1,(3*7+6-WEEKDAY(DATE($V$1,1,1),2)+1)&lt;=DAY(EOMONTH(DATE($V$1,1,1),0))),(3*7+6-WEEKDAY(DATE($V$1,1,1),2)+1),"")</f>
        <v>23</v>
      </c>
      <c r="I15" s="22" t="n">
        <f aca="false">IF(AND((3*7+7-WEEKDAY(DATE($V$1,1,1),2)+1)&gt;=1,(3*7+7-WEEKDAY(DATE($V$1,1,1),2)+1)&lt;=DAY(EOMONTH(DATE($V$1,1,1),0))),(3*7+7-WEEKDAY(DATE($V$1,1,1),2)+1),"")</f>
        <v>24</v>
      </c>
      <c r="K15" s="19" t="n">
        <f aca="false">IF(AND((3*7+7-WEEKDAY(DATE($V$1,2,1),2)+1)&gt;=1,(3*7+1-WEEKDAY(DATE($V$1,2,1),2)+1)&lt;=DAY(EOMONTH(DATE($V$1,2,1),0))),INT(((DATE($V$1,2,1)-WEEKDAY(DATE($V$1,2,1),2)+1+3*7)-DATE(YEAR((DATE($V$1,2,1)-WEEKDAY(DATE($V$1,2,1),2)+1+3*7)-WEEKDAY((DATE($V$1,2,1)-WEEKDAY(DATE($V$1,2,1),2)+1+3*7)-1)+4),1,3)+WEEKDAY(DATE(YEAR((DATE($V$1,2,1)-WEEKDAY(DATE($V$1,2,1),2)+1+3*7)-WEEKDAY((DATE($V$1,2,1)-WEEKDAY(DATE($V$1,2,1),2)+1+3*7)-1)+4),1,3))+5)/7),"")</f>
        <v>8</v>
      </c>
      <c r="L15" s="20" t="n">
        <f aca="false">IF(AND((3*7+1-WEEKDAY(DATE($V$1,2,1),2)+1)&gt;=1,(3*7+1-WEEKDAY(DATE($V$1,2,1),2)+1)&lt;=DAY(EOMONTH(DATE($V$1,2,1),0))),(3*7+1-WEEKDAY(DATE($V$1,2,1),2)+1),"")</f>
        <v>22</v>
      </c>
      <c r="M15" s="20" t="n">
        <f aca="false">IF(AND((3*7+2-WEEKDAY(DATE($V$1,2,1),2)+1)&gt;=1,(3*7+2-WEEKDAY(DATE($V$1,2,1),2)+1)&lt;=DAY(EOMONTH(DATE($V$1,2,1),0))),(3*7+2-WEEKDAY(DATE($V$1,2,1),2)+1),"")</f>
        <v>23</v>
      </c>
      <c r="N15" s="20" t="n">
        <f aca="false">IF(AND((3*7+3-WEEKDAY(DATE($V$1,2,1),2)+1)&gt;=1,(3*7+3-WEEKDAY(DATE($V$1,2,1),2)+1)&lt;=DAY(EOMONTH(DATE($V$1,2,1),0))),(3*7+3-WEEKDAY(DATE($V$1,2,1),2)+1),"")</f>
        <v>24</v>
      </c>
      <c r="O15" s="20" t="n">
        <f aca="false">IF(AND((3*7+4-WEEKDAY(DATE($V$1,2,1),2)+1)&gt;=1,(3*7+4-WEEKDAY(DATE($V$1,2,1),2)+1)&lt;=DAY(EOMONTH(DATE($V$1,2,1),0))),(3*7+4-WEEKDAY(DATE($V$1,2,1),2)+1),"")</f>
        <v>25</v>
      </c>
      <c r="P15" s="20" t="n">
        <f aca="false">IF(AND((3*7+5-WEEKDAY(DATE($V$1,2,1),2)+1)&gt;=1,(3*7+5-WEEKDAY(DATE($V$1,2,1),2)+1)&lt;=DAY(EOMONTH(DATE($V$1,2,1),0))),(3*7+5-WEEKDAY(DATE($V$1,2,1),2)+1),"")</f>
        <v>26</v>
      </c>
      <c r="Q15" s="21" t="n">
        <f aca="false">IF(AND((3*7+6-WEEKDAY(DATE($V$1,2,1),2)+1)&gt;=1,(3*7+6-WEEKDAY(DATE($V$1,2,1),2)+1)&lt;=DAY(EOMONTH(DATE($V$1,2,1),0))),(3*7+6-WEEKDAY(DATE($V$1,2,1),2)+1),"")</f>
        <v>27</v>
      </c>
      <c r="R15" s="22" t="n">
        <f aca="false">IF(AND((3*7+7-WEEKDAY(DATE($V$1,2,1),2)+1)&gt;=1,(3*7+7-WEEKDAY(DATE($V$1,2,1),2)+1)&lt;=DAY(EOMONTH(DATE($V$1,2,1),0))),(3*7+7-WEEKDAY(DATE($V$1,2,1),2)+1),"")</f>
        <v>28</v>
      </c>
      <c r="T15" s="19" t="n">
        <f aca="false">IF(AND((3*7+7-WEEKDAY(DATE($V$1,3,1),2)+1)&gt;=1,(3*7+1-WEEKDAY(DATE($V$1,3,1),2)+1)&lt;=DAY(EOMONTH(DATE($V$1,3,1),0))),INT(((DATE($V$1,3,1)-WEEKDAY(DATE($V$1,3,1),2)+1+3*7)-DATE(YEAR((DATE($V$1,3,1)-WEEKDAY(DATE($V$1,3,1),2)+1+3*7)-WEEKDAY((DATE($V$1,3,1)-WEEKDAY(DATE($V$1,3,1),2)+1+3*7)-1)+4),1,3)+WEEKDAY(DATE(YEAR((DATE($V$1,3,1)-WEEKDAY(DATE($V$1,3,1),2)+1+3*7)-WEEKDAY((DATE($V$1,3,1)-WEEKDAY(DATE($V$1,3,1),2)+1+3*7)-1)+4),1,3))+5)/7),"")</f>
        <v>12</v>
      </c>
      <c r="U15" s="20" t="n">
        <f aca="false">IF(AND((3*7+1-WEEKDAY(DATE($V$1,3,1),2)+1)&gt;=1,(3*7+1-WEEKDAY(DATE($V$1,3,1),2)+1)&lt;=DAY(EOMONTH(DATE($V$1,3,1),0))),(3*7+1-WEEKDAY(DATE($V$1,3,1),2)+1),"")</f>
        <v>22</v>
      </c>
      <c r="V15" s="20" t="n">
        <f aca="false">IF(AND((3*7+2-WEEKDAY(DATE($V$1,3,1),2)+1)&gt;=1,(3*7+2-WEEKDAY(DATE($V$1,3,1),2)+1)&lt;=DAY(EOMONTH(DATE($V$1,3,1),0))),(3*7+2-WEEKDAY(DATE($V$1,3,1),2)+1),"")</f>
        <v>23</v>
      </c>
      <c r="W15" s="20" t="n">
        <f aca="false">IF(AND((3*7+3-WEEKDAY(DATE($V$1,3,1),2)+1)&gt;=1,(3*7+3-WEEKDAY(DATE($V$1,3,1),2)+1)&lt;=DAY(EOMONTH(DATE($V$1,3,1),0))),(3*7+3-WEEKDAY(DATE($V$1,3,1),2)+1),"")</f>
        <v>24</v>
      </c>
      <c r="X15" s="20" t="n">
        <f aca="false">IF(AND((3*7+4-WEEKDAY(DATE($V$1,3,1),2)+1)&gt;=1,(3*7+4-WEEKDAY(DATE($V$1,3,1),2)+1)&lt;=DAY(EOMONTH(DATE($V$1,3,1),0))),(3*7+4-WEEKDAY(DATE($V$1,3,1),2)+1),"")</f>
        <v>25</v>
      </c>
      <c r="Y15" s="20" t="n">
        <f aca="false">IF(AND((3*7+5-WEEKDAY(DATE($V$1,3,1),2)+1)&gt;=1,(3*7+5-WEEKDAY(DATE($V$1,3,1),2)+1)&lt;=DAY(EOMONTH(DATE($V$1,3,1),0))),(3*7+5-WEEKDAY(DATE($V$1,3,1),2)+1),"")</f>
        <v>26</v>
      </c>
      <c r="Z15" s="21" t="n">
        <f aca="false">IF(AND((3*7+6-WEEKDAY(DATE($V$1,3,1),2)+1)&gt;=1,(3*7+6-WEEKDAY(DATE($V$1,3,1),2)+1)&lt;=DAY(EOMONTH(DATE($V$1,3,1),0))),(3*7+6-WEEKDAY(DATE($V$1,3,1),2)+1),"")</f>
        <v>27</v>
      </c>
      <c r="AA15" s="22" t="n">
        <f aca="false">IF(AND((3*7+7-WEEKDAY(DATE($V$1,3,1),2)+1)&gt;=1,(3*7+7-WEEKDAY(DATE($V$1,3,1),2)+1)&lt;=DAY(EOMONTH(DATE($V$1,3,1),0))),(3*7+7-WEEKDAY(DATE($V$1,3,1),2)+1),"")</f>
        <v>28</v>
      </c>
      <c r="AC15" s="19" t="n">
        <f aca="false">IF(AND((3*7+7-WEEKDAY(DATE($V$1,4,1),2)+1)&gt;=1,(3*7+1-WEEKDAY(DATE($V$1,4,1),2)+1)&lt;=DAY(EOMONTH(DATE($V$1,4,1),0))),INT(((DATE($V$1,4,1)-WEEKDAY(DATE($V$1,4,1),2)+1+3*7)-DATE(YEAR((DATE($V$1,4,1)-WEEKDAY(DATE($V$1,4,1),2)+1+3*7)-WEEKDAY((DATE($V$1,4,1)-WEEKDAY(DATE($V$1,4,1),2)+1+3*7)-1)+4),1,3)+WEEKDAY(DATE(YEAR((DATE($V$1,4,1)-WEEKDAY(DATE($V$1,4,1),2)+1+3*7)-WEEKDAY((DATE($V$1,4,1)-WEEKDAY(DATE($V$1,4,1),2)+1+3*7)-1)+4),1,3))+5)/7),"")</f>
        <v>16</v>
      </c>
      <c r="AD15" s="20" t="n">
        <f aca="false">IF(AND((3*7+1-WEEKDAY(DATE($V$1,4,1),2)+1)&gt;=1,(3*7+1-WEEKDAY(DATE($V$1,4,1),2)+1)&lt;=DAY(EOMONTH(DATE($V$1,4,1),0))),(3*7+1-WEEKDAY(DATE($V$1,4,1),2)+1),"")</f>
        <v>19</v>
      </c>
      <c r="AE15" s="20" t="n">
        <f aca="false">IF(AND((3*7+2-WEEKDAY(DATE($V$1,4,1),2)+1)&gt;=1,(3*7+2-WEEKDAY(DATE($V$1,4,1),2)+1)&lt;=DAY(EOMONTH(DATE($V$1,4,1),0))),(3*7+2-WEEKDAY(DATE($V$1,4,1),2)+1),"")</f>
        <v>20</v>
      </c>
      <c r="AF15" s="20" t="n">
        <f aca="false">IF(AND((3*7+3-WEEKDAY(DATE($V$1,4,1),2)+1)&gt;=1,(3*7+3-WEEKDAY(DATE($V$1,4,1),2)+1)&lt;=DAY(EOMONTH(DATE($V$1,4,1),0))),(3*7+3-WEEKDAY(DATE($V$1,4,1),2)+1),"")</f>
        <v>21</v>
      </c>
      <c r="AG15" s="20" t="n">
        <f aca="false">IF(AND((3*7+4-WEEKDAY(DATE($V$1,4,1),2)+1)&gt;=1,(3*7+4-WEEKDAY(DATE($V$1,4,1),2)+1)&lt;=DAY(EOMONTH(DATE($V$1,4,1),0))),(3*7+4-WEEKDAY(DATE($V$1,4,1),2)+1),"")</f>
        <v>22</v>
      </c>
      <c r="AH15" s="20" t="n">
        <f aca="false">IF(AND((3*7+5-WEEKDAY(DATE($V$1,4,1),2)+1)&gt;=1,(3*7+5-WEEKDAY(DATE($V$1,4,1),2)+1)&lt;=DAY(EOMONTH(DATE($V$1,4,1),0))),(3*7+5-WEEKDAY(DATE($V$1,4,1),2)+1),"")</f>
        <v>23</v>
      </c>
      <c r="AI15" s="21" t="n">
        <f aca="false">IF(AND((3*7+6-WEEKDAY(DATE($V$1,4,1),2)+1)&gt;=1,(3*7+6-WEEKDAY(DATE($V$1,4,1),2)+1)&lt;=DAY(EOMONTH(DATE($V$1,4,1),0))),(3*7+6-WEEKDAY(DATE($V$1,4,1),2)+1),"")</f>
        <v>24</v>
      </c>
      <c r="AJ15" s="22" t="n">
        <f aca="false">IF(AND((3*7+7-WEEKDAY(DATE($V$1,4,1),2)+1)&gt;=1,(3*7+7-WEEKDAY(DATE($V$1,4,1),2)+1)&lt;=DAY(EOMONTH(DATE($V$1,4,1),0))),(3*7+7-WEEKDAY(DATE($V$1,4,1),2)+1),"")</f>
        <v>25</v>
      </c>
    </row>
    <row r="16" customFormat="false" ht="15" hidden="false" customHeight="true" outlineLevel="0" collapsed="false">
      <c r="B16" s="19" t="n">
        <f aca="false">IF(AND((4*7+7-WEEKDAY(DATE($V$1,1,1),2)+1)&gt;=1,(4*7+1-WEEKDAY(DATE($V$1,1,1),2)+1)&lt;=DAY(EOMONTH(DATE($V$1,1,1),0))),INT(((DATE($V$1,1,1)-WEEKDAY(DATE($V$1,1,1),2)+1+4*7)-DATE(YEAR((DATE($V$1,1,1)-WEEKDAY(DATE($V$1,1,1),2)+1+4*7)-WEEKDAY((DATE($V$1,1,1)-WEEKDAY(DATE($V$1,1,1),2)+1+4*7)-1)+4),1,3)+WEEKDAY(DATE(YEAR((DATE($V$1,1,1)-WEEKDAY(DATE($V$1,1,1),2)+1+4*7)-WEEKDAY((DATE($V$1,1,1)-WEEKDAY(DATE($V$1,1,1),2)+1+4*7)-1)+4),1,3))+5)/7),"")</f>
        <v>4</v>
      </c>
      <c r="C16" s="20" t="n">
        <f aca="false">IF(AND((4*7+1-WEEKDAY(DATE($V$1,1,1),2)+1)&gt;=1,(4*7+1-WEEKDAY(DATE($V$1,1,1),2)+1)&lt;=DAY(EOMONTH(DATE($V$1,1,1),0))),(4*7+1-WEEKDAY(DATE($V$1,1,1),2)+1),"")</f>
        <v>25</v>
      </c>
      <c r="D16" s="20" t="n">
        <f aca="false">IF(AND((4*7+2-WEEKDAY(DATE($V$1,1,1),2)+1)&gt;=1,(4*7+2-WEEKDAY(DATE($V$1,1,1),2)+1)&lt;=DAY(EOMONTH(DATE($V$1,1,1),0))),(4*7+2-WEEKDAY(DATE($V$1,1,1),2)+1),"")</f>
        <v>26</v>
      </c>
      <c r="E16" s="20" t="n">
        <f aca="false">IF(AND((4*7+3-WEEKDAY(DATE($V$1,1,1),2)+1)&gt;=1,(4*7+3-WEEKDAY(DATE($V$1,1,1),2)+1)&lt;=DAY(EOMONTH(DATE($V$1,1,1),0))),(4*7+3-WEEKDAY(DATE($V$1,1,1),2)+1),"")</f>
        <v>27</v>
      </c>
      <c r="F16" s="20" t="n">
        <f aca="false">IF(AND((4*7+4-WEEKDAY(DATE($V$1,1,1),2)+1)&gt;=1,(4*7+4-WEEKDAY(DATE($V$1,1,1),2)+1)&lt;=DAY(EOMONTH(DATE($V$1,1,1),0))),(4*7+4-WEEKDAY(DATE($V$1,1,1),2)+1),"")</f>
        <v>28</v>
      </c>
      <c r="G16" s="20" t="n">
        <f aca="false">IF(AND((4*7+5-WEEKDAY(DATE($V$1,1,1),2)+1)&gt;=1,(4*7+5-WEEKDAY(DATE($V$1,1,1),2)+1)&lt;=DAY(EOMONTH(DATE($V$1,1,1),0))),(4*7+5-WEEKDAY(DATE($V$1,1,1),2)+1),"")</f>
        <v>29</v>
      </c>
      <c r="H16" s="21" t="n">
        <f aca="false">IF(AND((4*7+6-WEEKDAY(DATE($V$1,1,1),2)+1)&gt;=1,(4*7+6-WEEKDAY(DATE($V$1,1,1),2)+1)&lt;=DAY(EOMONTH(DATE($V$1,1,1),0))),(4*7+6-WEEKDAY(DATE($V$1,1,1),2)+1),"")</f>
        <v>30</v>
      </c>
      <c r="I16" s="22" t="n">
        <f aca="false">IF(AND((4*7+7-WEEKDAY(DATE($V$1,1,1),2)+1)&gt;=1,(4*7+7-WEEKDAY(DATE($V$1,1,1),2)+1)&lt;=DAY(EOMONTH(DATE($V$1,1,1),0))),(4*7+7-WEEKDAY(DATE($V$1,1,1),2)+1),"")</f>
        <v>31</v>
      </c>
      <c r="K16" s="19" t="str">
        <f aca="false">IF(AND((4*7+7-WEEKDAY(DATE($V$1,2,1),2)+1)&gt;=1,(4*7+1-WEEKDAY(DATE($V$1,2,1),2)+1)&lt;=DAY(EOMONTH(DATE($V$1,2,1),0))),INT(((DATE($V$1,2,1)-WEEKDAY(DATE($V$1,2,1),2)+1+4*7)-DATE(YEAR((DATE($V$1,2,1)-WEEKDAY(DATE($V$1,2,1),2)+1+4*7)-WEEKDAY((DATE($V$1,2,1)-WEEKDAY(DATE($V$1,2,1),2)+1+4*7)-1)+4),1,3)+WEEKDAY(DATE(YEAR((DATE($V$1,2,1)-WEEKDAY(DATE($V$1,2,1),2)+1+4*7)-WEEKDAY((DATE($V$1,2,1)-WEEKDAY(DATE($V$1,2,1),2)+1+4*7)-1)+4),1,3))+5)/7),"")</f>
        <v/>
      </c>
      <c r="L16" s="20" t="str">
        <f aca="false">IF(AND((4*7+1-WEEKDAY(DATE($V$1,2,1),2)+1)&gt;=1,(4*7+1-WEEKDAY(DATE($V$1,2,1),2)+1)&lt;=DAY(EOMONTH(DATE($V$1,2,1),0))),(4*7+1-WEEKDAY(DATE($V$1,2,1),2)+1),"")</f>
        <v/>
      </c>
      <c r="M16" s="20" t="str">
        <f aca="false">IF(AND((4*7+2-WEEKDAY(DATE($V$1,2,1),2)+1)&gt;=1,(4*7+2-WEEKDAY(DATE($V$1,2,1),2)+1)&lt;=DAY(EOMONTH(DATE($V$1,2,1),0))),(4*7+2-WEEKDAY(DATE($V$1,2,1),2)+1),"")</f>
        <v/>
      </c>
      <c r="N16" s="20" t="str">
        <f aca="false">IF(AND((4*7+3-WEEKDAY(DATE($V$1,2,1),2)+1)&gt;=1,(4*7+3-WEEKDAY(DATE($V$1,2,1),2)+1)&lt;=DAY(EOMONTH(DATE($V$1,2,1),0))),(4*7+3-WEEKDAY(DATE($V$1,2,1),2)+1),"")</f>
        <v/>
      </c>
      <c r="O16" s="20" t="str">
        <f aca="false">IF(AND((4*7+4-WEEKDAY(DATE($V$1,2,1),2)+1)&gt;=1,(4*7+4-WEEKDAY(DATE($V$1,2,1),2)+1)&lt;=DAY(EOMONTH(DATE($V$1,2,1),0))),(4*7+4-WEEKDAY(DATE($V$1,2,1),2)+1),"")</f>
        <v/>
      </c>
      <c r="P16" s="20" t="str">
        <f aca="false">IF(AND((4*7+5-WEEKDAY(DATE($V$1,2,1),2)+1)&gt;=1,(4*7+5-WEEKDAY(DATE($V$1,2,1),2)+1)&lt;=DAY(EOMONTH(DATE($V$1,2,1),0))),(4*7+5-WEEKDAY(DATE($V$1,2,1),2)+1),"")</f>
        <v/>
      </c>
      <c r="Q16" s="21" t="str">
        <f aca="false">IF(AND((4*7+6-WEEKDAY(DATE($V$1,2,1),2)+1)&gt;=1,(4*7+6-WEEKDAY(DATE($V$1,2,1),2)+1)&lt;=DAY(EOMONTH(DATE($V$1,2,1),0))),(4*7+6-WEEKDAY(DATE($V$1,2,1),2)+1),"")</f>
        <v/>
      </c>
      <c r="R16" s="22" t="str">
        <f aca="false">IF(AND((4*7+7-WEEKDAY(DATE($V$1,2,1),2)+1)&gt;=1,(4*7+7-WEEKDAY(DATE($V$1,2,1),2)+1)&lt;=DAY(EOMONTH(DATE($V$1,2,1),0))),(4*7+7-WEEKDAY(DATE($V$1,2,1),2)+1),"")</f>
        <v/>
      </c>
      <c r="T16" s="19" t="n">
        <f aca="false">IF(AND((4*7+7-WEEKDAY(DATE($V$1,3,1),2)+1)&gt;=1,(4*7+1-WEEKDAY(DATE($V$1,3,1),2)+1)&lt;=DAY(EOMONTH(DATE($V$1,3,1),0))),INT(((DATE($V$1,3,1)-WEEKDAY(DATE($V$1,3,1),2)+1+4*7)-DATE(YEAR((DATE($V$1,3,1)-WEEKDAY(DATE($V$1,3,1),2)+1+4*7)-WEEKDAY((DATE($V$1,3,1)-WEEKDAY(DATE($V$1,3,1),2)+1+4*7)-1)+4),1,3)+WEEKDAY(DATE(YEAR((DATE($V$1,3,1)-WEEKDAY(DATE($V$1,3,1),2)+1+4*7)-WEEKDAY((DATE($V$1,3,1)-WEEKDAY(DATE($V$1,3,1),2)+1+4*7)-1)+4),1,3))+5)/7),"")</f>
        <v>13</v>
      </c>
      <c r="U16" s="20" t="n">
        <f aca="false">IF(AND((4*7+1-WEEKDAY(DATE($V$1,3,1),2)+1)&gt;=1,(4*7+1-WEEKDAY(DATE($V$1,3,1),2)+1)&lt;=DAY(EOMONTH(DATE($V$1,3,1),0))),(4*7+1-WEEKDAY(DATE($V$1,3,1),2)+1),"")</f>
        <v>29</v>
      </c>
      <c r="V16" s="20" t="n">
        <f aca="false">IF(AND((4*7+2-WEEKDAY(DATE($V$1,3,1),2)+1)&gt;=1,(4*7+2-WEEKDAY(DATE($V$1,3,1),2)+1)&lt;=DAY(EOMONTH(DATE($V$1,3,1),0))),(4*7+2-WEEKDAY(DATE($V$1,3,1),2)+1),"")</f>
        <v>30</v>
      </c>
      <c r="W16" s="20" t="n">
        <f aca="false">IF(AND((4*7+3-WEEKDAY(DATE($V$1,3,1),2)+1)&gt;=1,(4*7+3-WEEKDAY(DATE($V$1,3,1),2)+1)&lt;=DAY(EOMONTH(DATE($V$1,3,1),0))),(4*7+3-WEEKDAY(DATE($V$1,3,1),2)+1),"")</f>
        <v>31</v>
      </c>
      <c r="X16" s="20" t="str">
        <f aca="false">IF(AND((4*7+4-WEEKDAY(DATE($V$1,3,1),2)+1)&gt;=1,(4*7+4-WEEKDAY(DATE($V$1,3,1),2)+1)&lt;=DAY(EOMONTH(DATE($V$1,3,1),0))),(4*7+4-WEEKDAY(DATE($V$1,3,1),2)+1),"")</f>
        <v/>
      </c>
      <c r="Y16" s="20" t="str">
        <f aca="false">IF(AND((4*7+5-WEEKDAY(DATE($V$1,3,1),2)+1)&gt;=1,(4*7+5-WEEKDAY(DATE($V$1,3,1),2)+1)&lt;=DAY(EOMONTH(DATE($V$1,3,1),0))),(4*7+5-WEEKDAY(DATE($V$1,3,1),2)+1),"")</f>
        <v/>
      </c>
      <c r="Z16" s="21" t="str">
        <f aca="false">IF(AND((4*7+6-WEEKDAY(DATE($V$1,3,1),2)+1)&gt;=1,(4*7+6-WEEKDAY(DATE($V$1,3,1),2)+1)&lt;=DAY(EOMONTH(DATE($V$1,3,1),0))),(4*7+6-WEEKDAY(DATE($V$1,3,1),2)+1),"")</f>
        <v/>
      </c>
      <c r="AA16" s="22" t="str">
        <f aca="false">IF(AND((4*7+7-WEEKDAY(DATE($V$1,3,1),2)+1)&gt;=1,(4*7+7-WEEKDAY(DATE($V$1,3,1),2)+1)&lt;=DAY(EOMONTH(DATE($V$1,3,1),0))),(4*7+7-WEEKDAY(DATE($V$1,3,1),2)+1),"")</f>
        <v/>
      </c>
      <c r="AC16" s="19" t="n">
        <f aca="false">IF(AND((4*7+7-WEEKDAY(DATE($V$1,4,1),2)+1)&gt;=1,(4*7+1-WEEKDAY(DATE($V$1,4,1),2)+1)&lt;=DAY(EOMONTH(DATE($V$1,4,1),0))),INT(((DATE($V$1,4,1)-WEEKDAY(DATE($V$1,4,1),2)+1+4*7)-DATE(YEAR((DATE($V$1,4,1)-WEEKDAY(DATE($V$1,4,1),2)+1+4*7)-WEEKDAY((DATE($V$1,4,1)-WEEKDAY(DATE($V$1,4,1),2)+1+4*7)-1)+4),1,3)+WEEKDAY(DATE(YEAR((DATE($V$1,4,1)-WEEKDAY(DATE($V$1,4,1),2)+1+4*7)-WEEKDAY((DATE($V$1,4,1)-WEEKDAY(DATE($V$1,4,1),2)+1+4*7)-1)+4),1,3))+5)/7),"")</f>
        <v>17</v>
      </c>
      <c r="AD16" s="20" t="n">
        <f aca="false">IF(AND((4*7+1-WEEKDAY(DATE($V$1,4,1),2)+1)&gt;=1,(4*7+1-WEEKDAY(DATE($V$1,4,1),2)+1)&lt;=DAY(EOMONTH(DATE($V$1,4,1),0))),(4*7+1-WEEKDAY(DATE($V$1,4,1),2)+1),"")</f>
        <v>26</v>
      </c>
      <c r="AE16" s="20" t="n">
        <f aca="false">IF(AND((4*7+2-WEEKDAY(DATE($V$1,4,1),2)+1)&gt;=1,(4*7+2-WEEKDAY(DATE($V$1,4,1),2)+1)&lt;=DAY(EOMONTH(DATE($V$1,4,1),0))),(4*7+2-WEEKDAY(DATE($V$1,4,1),2)+1),"")</f>
        <v>27</v>
      </c>
      <c r="AF16" s="20" t="n">
        <f aca="false">IF(AND((4*7+3-WEEKDAY(DATE($V$1,4,1),2)+1)&gt;=1,(4*7+3-WEEKDAY(DATE($V$1,4,1),2)+1)&lt;=DAY(EOMONTH(DATE($V$1,4,1),0))),(4*7+3-WEEKDAY(DATE($V$1,4,1),2)+1),"")</f>
        <v>28</v>
      </c>
      <c r="AG16" s="20" t="n">
        <f aca="false">IF(AND((4*7+4-WEEKDAY(DATE($V$1,4,1),2)+1)&gt;=1,(4*7+4-WEEKDAY(DATE($V$1,4,1),2)+1)&lt;=DAY(EOMONTH(DATE($V$1,4,1),0))),(4*7+4-WEEKDAY(DATE($V$1,4,1),2)+1),"")</f>
        <v>29</v>
      </c>
      <c r="AH16" s="20" t="n">
        <f aca="false">IF(AND((4*7+5-WEEKDAY(DATE($V$1,4,1),2)+1)&gt;=1,(4*7+5-WEEKDAY(DATE($V$1,4,1),2)+1)&lt;=DAY(EOMONTH(DATE($V$1,4,1),0))),(4*7+5-WEEKDAY(DATE($V$1,4,1),2)+1),"")</f>
        <v>30</v>
      </c>
      <c r="AI16" s="21" t="str">
        <f aca="false">IF(AND((4*7+6-WEEKDAY(DATE($V$1,4,1),2)+1)&gt;=1,(4*7+6-WEEKDAY(DATE($V$1,4,1),2)+1)&lt;=DAY(EOMONTH(DATE($V$1,4,1),0))),(4*7+6-WEEKDAY(DATE($V$1,4,1),2)+1),"")</f>
        <v/>
      </c>
      <c r="AJ16" s="22" t="str">
        <f aca="false">IF(AND((4*7+7-WEEKDAY(DATE($V$1,4,1),2)+1)&gt;=1,(4*7+7-WEEKDAY(DATE($V$1,4,1),2)+1)&lt;=DAY(EOMONTH(DATE($V$1,4,1),0))),(4*7+7-WEEKDAY(DATE($V$1,4,1),2)+1),"")</f>
        <v/>
      </c>
    </row>
    <row r="17" customFormat="false" ht="15" hidden="false" customHeight="true" outlineLevel="0" collapsed="false">
      <c r="B17" s="19" t="str">
        <f aca="false">IF(AND((5*7+7-WEEKDAY(DATE($V$1,1,1),2)+1)&gt;=1,(5*7+1-WEEKDAY(DATE($V$1,1,1),2)+1)&lt;=DAY(EOMONTH(DATE($V$1,1,1),0))),INT(((DATE($V$1,1,1)-WEEKDAY(DATE($V$1,1,1),2)+1+5*7)-DATE(YEAR((DATE($V$1,1,1)-WEEKDAY(DATE($V$1,1,1),2)+1+5*7)-WEEKDAY((DATE($V$1,1,1)-WEEKDAY(DATE($V$1,1,1),2)+1+5*7)-1)+4),1,3)+WEEKDAY(DATE(YEAR((DATE($V$1,1,1)-WEEKDAY(DATE($V$1,1,1),2)+1+5*7)-WEEKDAY((DATE($V$1,1,1)-WEEKDAY(DATE($V$1,1,1),2)+1+5*7)-1)+4),1,3))+5)/7),"")</f>
        <v/>
      </c>
      <c r="C17" s="20" t="str">
        <f aca="false">IF(AND((5*7+1-WEEKDAY(DATE($V$1,1,1),2)+1)&gt;=1,(5*7+1-WEEKDAY(DATE($V$1,1,1),2)+1)&lt;=DAY(EOMONTH(DATE($V$1,1,1),0))),(5*7+1-WEEKDAY(DATE($V$1,1,1),2)+1),"")</f>
        <v/>
      </c>
      <c r="D17" s="20" t="str">
        <f aca="false">IF(AND((5*7+2-WEEKDAY(DATE($V$1,1,1),2)+1)&gt;=1,(5*7+2-WEEKDAY(DATE($V$1,1,1),2)+1)&lt;=DAY(EOMONTH(DATE($V$1,1,1),0))),(5*7+2-WEEKDAY(DATE($V$1,1,1),2)+1),"")</f>
        <v/>
      </c>
      <c r="E17" s="20" t="str">
        <f aca="false">IF(AND((5*7+3-WEEKDAY(DATE($V$1,1,1),2)+1)&gt;=1,(5*7+3-WEEKDAY(DATE($V$1,1,1),2)+1)&lt;=DAY(EOMONTH(DATE($V$1,1,1),0))),(5*7+3-WEEKDAY(DATE($V$1,1,1),2)+1),"")</f>
        <v/>
      </c>
      <c r="F17" s="20" t="str">
        <f aca="false">IF(AND((5*7+4-WEEKDAY(DATE($V$1,1,1),2)+1)&gt;=1,(5*7+4-WEEKDAY(DATE($V$1,1,1),2)+1)&lt;=DAY(EOMONTH(DATE($V$1,1,1),0))),(5*7+4-WEEKDAY(DATE($V$1,1,1),2)+1),"")</f>
        <v/>
      </c>
      <c r="G17" s="20" t="str">
        <f aca="false">IF(AND((5*7+5-WEEKDAY(DATE($V$1,1,1),2)+1)&gt;=1,(5*7+5-WEEKDAY(DATE($V$1,1,1),2)+1)&lt;=DAY(EOMONTH(DATE($V$1,1,1),0))),(5*7+5-WEEKDAY(DATE($V$1,1,1),2)+1),"")</f>
        <v/>
      </c>
      <c r="H17" s="21" t="str">
        <f aca="false">IF(AND((5*7+6-WEEKDAY(DATE($V$1,1,1),2)+1)&gt;=1,(5*7+6-WEEKDAY(DATE($V$1,1,1),2)+1)&lt;=DAY(EOMONTH(DATE($V$1,1,1),0))),(5*7+6-WEEKDAY(DATE($V$1,1,1),2)+1),"")</f>
        <v/>
      </c>
      <c r="I17" s="22" t="str">
        <f aca="false">IF(AND((5*7+7-WEEKDAY(DATE($V$1,1,1),2)+1)&gt;=1,(5*7+7-WEEKDAY(DATE($V$1,1,1),2)+1)&lt;=DAY(EOMONTH(DATE($V$1,1,1),0))),(5*7+7-WEEKDAY(DATE($V$1,1,1),2)+1),"")</f>
        <v/>
      </c>
      <c r="K17" s="19" t="str">
        <f aca="false">IF(AND((5*7+7-WEEKDAY(DATE($V$1,2,1),2)+1)&gt;=1,(5*7+1-WEEKDAY(DATE($V$1,2,1),2)+1)&lt;=DAY(EOMONTH(DATE($V$1,2,1),0))),INT(((DATE($V$1,2,1)-WEEKDAY(DATE($V$1,2,1),2)+1+5*7)-DATE(YEAR((DATE($V$1,2,1)-WEEKDAY(DATE($V$1,2,1),2)+1+5*7)-WEEKDAY((DATE($V$1,2,1)-WEEKDAY(DATE($V$1,2,1),2)+1+5*7)-1)+4),1,3)+WEEKDAY(DATE(YEAR((DATE($V$1,2,1)-WEEKDAY(DATE($V$1,2,1),2)+1+5*7)-WEEKDAY((DATE($V$1,2,1)-WEEKDAY(DATE($V$1,2,1),2)+1+5*7)-1)+4),1,3))+5)/7),"")</f>
        <v/>
      </c>
      <c r="L17" s="20" t="str">
        <f aca="false">IF(AND((5*7+1-WEEKDAY(DATE($V$1,2,1),2)+1)&gt;=1,(5*7+1-WEEKDAY(DATE($V$1,2,1),2)+1)&lt;=DAY(EOMONTH(DATE($V$1,2,1),0))),(5*7+1-WEEKDAY(DATE($V$1,2,1),2)+1),"")</f>
        <v/>
      </c>
      <c r="M17" s="20" t="str">
        <f aca="false">IF(AND((5*7+2-WEEKDAY(DATE($V$1,2,1),2)+1)&gt;=1,(5*7+2-WEEKDAY(DATE($V$1,2,1),2)+1)&lt;=DAY(EOMONTH(DATE($V$1,2,1),0))),(5*7+2-WEEKDAY(DATE($V$1,2,1),2)+1),"")</f>
        <v/>
      </c>
      <c r="N17" s="20" t="str">
        <f aca="false">IF(AND((5*7+3-WEEKDAY(DATE($V$1,2,1),2)+1)&gt;=1,(5*7+3-WEEKDAY(DATE($V$1,2,1),2)+1)&lt;=DAY(EOMONTH(DATE($V$1,2,1),0))),(5*7+3-WEEKDAY(DATE($V$1,2,1),2)+1),"")</f>
        <v/>
      </c>
      <c r="O17" s="20" t="str">
        <f aca="false">IF(AND((5*7+4-WEEKDAY(DATE($V$1,2,1),2)+1)&gt;=1,(5*7+4-WEEKDAY(DATE($V$1,2,1),2)+1)&lt;=DAY(EOMONTH(DATE($V$1,2,1),0))),(5*7+4-WEEKDAY(DATE($V$1,2,1),2)+1),"")</f>
        <v/>
      </c>
      <c r="P17" s="20" t="str">
        <f aca="false">IF(AND((5*7+5-WEEKDAY(DATE($V$1,2,1),2)+1)&gt;=1,(5*7+5-WEEKDAY(DATE($V$1,2,1),2)+1)&lt;=DAY(EOMONTH(DATE($V$1,2,1),0))),(5*7+5-WEEKDAY(DATE($V$1,2,1),2)+1),"")</f>
        <v/>
      </c>
      <c r="Q17" s="21" t="str">
        <f aca="false">IF(AND((5*7+6-WEEKDAY(DATE($V$1,2,1),2)+1)&gt;=1,(5*7+6-WEEKDAY(DATE($V$1,2,1),2)+1)&lt;=DAY(EOMONTH(DATE($V$1,2,1),0))),(5*7+6-WEEKDAY(DATE($V$1,2,1),2)+1),"")</f>
        <v/>
      </c>
      <c r="R17" s="22" t="str">
        <f aca="false">IF(AND((5*7+7-WEEKDAY(DATE($V$1,2,1),2)+1)&gt;=1,(5*7+7-WEEKDAY(DATE($V$1,2,1),2)+1)&lt;=DAY(EOMONTH(DATE($V$1,2,1),0))),(5*7+7-WEEKDAY(DATE($V$1,2,1),2)+1),"")</f>
        <v/>
      </c>
      <c r="T17" s="19" t="str">
        <f aca="false">IF(AND((5*7+7-WEEKDAY(DATE($V$1,3,1),2)+1)&gt;=1,(5*7+1-WEEKDAY(DATE($V$1,3,1),2)+1)&lt;=DAY(EOMONTH(DATE($V$1,3,1),0))),INT(((DATE($V$1,3,1)-WEEKDAY(DATE($V$1,3,1),2)+1+5*7)-DATE(YEAR((DATE($V$1,3,1)-WEEKDAY(DATE($V$1,3,1),2)+1+5*7)-WEEKDAY((DATE($V$1,3,1)-WEEKDAY(DATE($V$1,3,1),2)+1+5*7)-1)+4),1,3)+WEEKDAY(DATE(YEAR((DATE($V$1,3,1)-WEEKDAY(DATE($V$1,3,1),2)+1+5*7)-WEEKDAY((DATE($V$1,3,1)-WEEKDAY(DATE($V$1,3,1),2)+1+5*7)-1)+4),1,3))+5)/7),"")</f>
        <v/>
      </c>
      <c r="U17" s="20" t="str">
        <f aca="false">IF(AND((5*7+1-WEEKDAY(DATE($V$1,3,1),2)+1)&gt;=1,(5*7+1-WEEKDAY(DATE($V$1,3,1),2)+1)&lt;=DAY(EOMONTH(DATE($V$1,3,1),0))),(5*7+1-WEEKDAY(DATE($V$1,3,1),2)+1),"")</f>
        <v/>
      </c>
      <c r="V17" s="20" t="str">
        <f aca="false">IF(AND((5*7+2-WEEKDAY(DATE($V$1,3,1),2)+1)&gt;=1,(5*7+2-WEEKDAY(DATE($V$1,3,1),2)+1)&lt;=DAY(EOMONTH(DATE($V$1,3,1),0))),(5*7+2-WEEKDAY(DATE($V$1,3,1),2)+1),"")</f>
        <v/>
      </c>
      <c r="W17" s="20" t="str">
        <f aca="false">IF(AND((5*7+3-WEEKDAY(DATE($V$1,3,1),2)+1)&gt;=1,(5*7+3-WEEKDAY(DATE($V$1,3,1),2)+1)&lt;=DAY(EOMONTH(DATE($V$1,3,1),0))),(5*7+3-WEEKDAY(DATE($V$1,3,1),2)+1),"")</f>
        <v/>
      </c>
      <c r="X17" s="20" t="str">
        <f aca="false">IF(AND((5*7+4-WEEKDAY(DATE($V$1,3,1),2)+1)&gt;=1,(5*7+4-WEEKDAY(DATE($V$1,3,1),2)+1)&lt;=DAY(EOMONTH(DATE($V$1,3,1),0))),(5*7+4-WEEKDAY(DATE($V$1,3,1),2)+1),"")</f>
        <v/>
      </c>
      <c r="Y17" s="20" t="str">
        <f aca="false">IF(AND((5*7+5-WEEKDAY(DATE($V$1,3,1),2)+1)&gt;=1,(5*7+5-WEEKDAY(DATE($V$1,3,1),2)+1)&lt;=DAY(EOMONTH(DATE($V$1,3,1),0))),(5*7+5-WEEKDAY(DATE($V$1,3,1),2)+1),"")</f>
        <v/>
      </c>
      <c r="Z17" s="21" t="str">
        <f aca="false">IF(AND((5*7+6-WEEKDAY(DATE($V$1,3,1),2)+1)&gt;=1,(5*7+6-WEEKDAY(DATE($V$1,3,1),2)+1)&lt;=DAY(EOMONTH(DATE($V$1,3,1),0))),(5*7+6-WEEKDAY(DATE($V$1,3,1),2)+1),"")</f>
        <v/>
      </c>
      <c r="AA17" s="22" t="str">
        <f aca="false">IF(AND((5*7+7-WEEKDAY(DATE($V$1,3,1),2)+1)&gt;=1,(5*7+7-WEEKDAY(DATE($V$1,3,1),2)+1)&lt;=DAY(EOMONTH(DATE($V$1,3,1),0))),(5*7+7-WEEKDAY(DATE($V$1,3,1),2)+1),"")</f>
        <v/>
      </c>
      <c r="AC17" s="19" t="str">
        <f aca="false">IF(AND((5*7+7-WEEKDAY(DATE($V$1,4,1),2)+1)&gt;=1,(5*7+1-WEEKDAY(DATE($V$1,4,1),2)+1)&lt;=DAY(EOMONTH(DATE($V$1,4,1),0))),INT(((DATE($V$1,4,1)-WEEKDAY(DATE($V$1,4,1),2)+1+5*7)-DATE(YEAR((DATE($V$1,4,1)-WEEKDAY(DATE($V$1,4,1),2)+1+5*7)-WEEKDAY((DATE($V$1,4,1)-WEEKDAY(DATE($V$1,4,1),2)+1+5*7)-1)+4),1,3)+WEEKDAY(DATE(YEAR((DATE($V$1,4,1)-WEEKDAY(DATE($V$1,4,1),2)+1+5*7)-WEEKDAY((DATE($V$1,4,1)-WEEKDAY(DATE($V$1,4,1),2)+1+5*7)-1)+4),1,3))+5)/7),"")</f>
        <v/>
      </c>
      <c r="AD17" s="20" t="str">
        <f aca="false">IF(AND((5*7+1-WEEKDAY(DATE($V$1,4,1),2)+1)&gt;=1,(5*7+1-WEEKDAY(DATE($V$1,4,1),2)+1)&lt;=DAY(EOMONTH(DATE($V$1,4,1),0))),(5*7+1-WEEKDAY(DATE($V$1,4,1),2)+1),"")</f>
        <v/>
      </c>
      <c r="AE17" s="20" t="str">
        <f aca="false">IF(AND((5*7+2-WEEKDAY(DATE($V$1,4,1),2)+1)&gt;=1,(5*7+2-WEEKDAY(DATE($V$1,4,1),2)+1)&lt;=DAY(EOMONTH(DATE($V$1,4,1),0))),(5*7+2-WEEKDAY(DATE($V$1,4,1),2)+1),"")</f>
        <v/>
      </c>
      <c r="AF17" s="20" t="str">
        <f aca="false">IF(AND((5*7+3-WEEKDAY(DATE($V$1,4,1),2)+1)&gt;=1,(5*7+3-WEEKDAY(DATE($V$1,4,1),2)+1)&lt;=DAY(EOMONTH(DATE($V$1,4,1),0))),(5*7+3-WEEKDAY(DATE($V$1,4,1),2)+1),"")</f>
        <v/>
      </c>
      <c r="AG17" s="20" t="str">
        <f aca="false">IF(AND((5*7+4-WEEKDAY(DATE($V$1,4,1),2)+1)&gt;=1,(5*7+4-WEEKDAY(DATE($V$1,4,1),2)+1)&lt;=DAY(EOMONTH(DATE($V$1,4,1),0))),(5*7+4-WEEKDAY(DATE($V$1,4,1),2)+1),"")</f>
        <v/>
      </c>
      <c r="AH17" s="20" t="str">
        <f aca="false">IF(AND((5*7+5-WEEKDAY(DATE($V$1,4,1),2)+1)&gt;=1,(5*7+5-WEEKDAY(DATE($V$1,4,1),2)+1)&lt;=DAY(EOMONTH(DATE($V$1,4,1),0))),(5*7+5-WEEKDAY(DATE($V$1,4,1),2)+1),"")</f>
        <v/>
      </c>
      <c r="AI17" s="21" t="str">
        <f aca="false">IF(AND((5*7+6-WEEKDAY(DATE($V$1,4,1),2)+1)&gt;=1,(5*7+6-WEEKDAY(DATE($V$1,4,1),2)+1)&lt;=DAY(EOMONTH(DATE($V$1,4,1),0))),(5*7+6-WEEKDAY(DATE($V$1,4,1),2)+1),"")</f>
        <v/>
      </c>
      <c r="AJ17" s="22" t="str">
        <f aca="false">IF(AND((5*7+7-WEEKDAY(DATE($V$1,4,1),2)+1)&gt;=1,(5*7+7-WEEKDAY(DATE($V$1,4,1),2)+1)&lt;=DAY(EOMONTH(DATE($V$1,4,1),0))),(5*7+7-WEEKDAY(DATE($V$1,4,1),2)+1),"")</f>
        <v/>
      </c>
    </row>
    <row r="19" customFormat="false" ht="18" hidden="false" customHeight="true" outlineLevel="0" collapsed="false">
      <c r="B19" s="14" t="s">
        <v>24</v>
      </c>
      <c r="C19" s="14"/>
      <c r="D19" s="14"/>
      <c r="E19" s="14"/>
      <c r="F19" s="14"/>
      <c r="G19" s="14"/>
      <c r="H19" s="14"/>
      <c r="I19" s="14"/>
      <c r="K19" s="14" t="s">
        <v>25</v>
      </c>
      <c r="L19" s="14"/>
      <c r="M19" s="14"/>
      <c r="N19" s="14"/>
      <c r="O19" s="14"/>
      <c r="P19" s="14"/>
      <c r="Q19" s="14"/>
      <c r="R19" s="14"/>
      <c r="T19" s="14" t="s">
        <v>26</v>
      </c>
      <c r="U19" s="14"/>
      <c r="V19" s="14"/>
      <c r="W19" s="14"/>
      <c r="X19" s="14"/>
      <c r="Y19" s="14"/>
      <c r="Z19" s="14"/>
      <c r="AA19" s="14"/>
      <c r="AC19" s="14" t="s">
        <v>27</v>
      </c>
      <c r="AD19" s="14"/>
      <c r="AE19" s="14"/>
      <c r="AF19" s="14"/>
      <c r="AG19" s="14"/>
      <c r="AH19" s="14"/>
      <c r="AI19" s="14"/>
      <c r="AJ19" s="14"/>
    </row>
    <row r="20" customFormat="false" ht="15" hidden="false" customHeight="true" outlineLevel="0" collapsed="false">
      <c r="B20" s="15" t="s">
        <v>16</v>
      </c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7" t="s">
        <v>22</v>
      </c>
      <c r="I20" s="18" t="s">
        <v>23</v>
      </c>
      <c r="K20" s="15" t="s">
        <v>16</v>
      </c>
      <c r="L20" s="16" t="s">
        <v>17</v>
      </c>
      <c r="M20" s="16" t="s">
        <v>18</v>
      </c>
      <c r="N20" s="16" t="s">
        <v>19</v>
      </c>
      <c r="O20" s="16" t="s">
        <v>20</v>
      </c>
      <c r="P20" s="16" t="s">
        <v>21</v>
      </c>
      <c r="Q20" s="17" t="s">
        <v>22</v>
      </c>
      <c r="R20" s="18" t="s">
        <v>23</v>
      </c>
      <c r="T20" s="15" t="s">
        <v>16</v>
      </c>
      <c r="U20" s="16" t="s">
        <v>17</v>
      </c>
      <c r="V20" s="16" t="s">
        <v>18</v>
      </c>
      <c r="W20" s="16" t="s">
        <v>19</v>
      </c>
      <c r="X20" s="16" t="s">
        <v>20</v>
      </c>
      <c r="Y20" s="16" t="s">
        <v>21</v>
      </c>
      <c r="Z20" s="17" t="s">
        <v>22</v>
      </c>
      <c r="AA20" s="18" t="s">
        <v>23</v>
      </c>
      <c r="AC20" s="15" t="s">
        <v>16</v>
      </c>
      <c r="AD20" s="16" t="s">
        <v>17</v>
      </c>
      <c r="AE20" s="16" t="s">
        <v>18</v>
      </c>
      <c r="AF20" s="16" t="s">
        <v>19</v>
      </c>
      <c r="AG20" s="16" t="s">
        <v>20</v>
      </c>
      <c r="AH20" s="16" t="s">
        <v>21</v>
      </c>
      <c r="AI20" s="17" t="s">
        <v>22</v>
      </c>
      <c r="AJ20" s="18" t="s">
        <v>23</v>
      </c>
    </row>
    <row r="21" customFormat="false" ht="15" hidden="false" customHeight="true" outlineLevel="0" collapsed="false">
      <c r="B21" s="19" t="n">
        <f aca="false">IF(AND((0*7+7-WEEKDAY(DATE($V$1,5,1),2)+1)&gt;=1,(0*7+1-WEEKDAY(DATE($V$1,5,1),2)+1)&lt;=DAY(EOMONTH(DATE($V$1,5,1),0))),INT(((DATE($V$1,5,1)-WEEKDAY(DATE($V$1,5,1),2)+1+0*7)-DATE(YEAR((DATE($V$1,5,1)-WEEKDAY(DATE($V$1,5,1),2)+1+0*7)-WEEKDAY((DATE($V$1,5,1)-WEEKDAY(DATE($V$1,5,1),2)+1+0*7)-1)+4),1,3)+WEEKDAY(DATE(YEAR((DATE($V$1,5,1)-WEEKDAY(DATE($V$1,5,1),2)+1+0*7)-WEEKDAY((DATE($V$1,5,1)-WEEKDAY(DATE($V$1,5,1),2)+1+0*7)-1)+4),1,3))+5)/7),"")</f>
        <v>17</v>
      </c>
      <c r="C21" s="20" t="str">
        <f aca="false">IF(AND((0*7+1-WEEKDAY(DATE($V$1,5,1),2)+1)&gt;=1,(0*7+1-WEEKDAY(DATE($V$1,5,1),2)+1)&lt;=DAY(EOMONTH(DATE($V$1,5,1),0))),(0*7+1-WEEKDAY(DATE($V$1,5,1),2)+1),"")</f>
        <v/>
      </c>
      <c r="D21" s="20" t="str">
        <f aca="false">IF(AND((0*7+2-WEEKDAY(DATE($V$1,5,1),2)+1)&gt;=1,(0*7+2-WEEKDAY(DATE($V$1,5,1),2)+1)&lt;=DAY(EOMONTH(DATE($V$1,5,1),0))),(0*7+2-WEEKDAY(DATE($V$1,5,1),2)+1),"")</f>
        <v/>
      </c>
      <c r="E21" s="20" t="str">
        <f aca="false">IF(AND((0*7+3-WEEKDAY(DATE($V$1,5,1),2)+1)&gt;=1,(0*7+3-WEEKDAY(DATE($V$1,5,1),2)+1)&lt;=DAY(EOMONTH(DATE($V$1,5,1),0))),(0*7+3-WEEKDAY(DATE($V$1,5,1),2)+1),"")</f>
        <v/>
      </c>
      <c r="F21" s="20" t="str">
        <f aca="false">IF(AND((0*7+4-WEEKDAY(DATE($V$1,5,1),2)+1)&gt;=1,(0*7+4-WEEKDAY(DATE($V$1,5,1),2)+1)&lt;=DAY(EOMONTH(DATE($V$1,5,1),0))),(0*7+4-WEEKDAY(DATE($V$1,5,1),2)+1),"")</f>
        <v/>
      </c>
      <c r="G21" s="20" t="str">
        <f aca="false">IF(AND((0*7+5-WEEKDAY(DATE($V$1,5,1),2)+1)&gt;=1,(0*7+5-WEEKDAY(DATE($V$1,5,1),2)+1)&lt;=DAY(EOMONTH(DATE($V$1,5,1),0))),(0*7+5-WEEKDAY(DATE($V$1,5,1),2)+1),"")</f>
        <v/>
      </c>
      <c r="H21" s="21" t="n">
        <f aca="false">IF(AND((0*7+6-WEEKDAY(DATE($V$1,5,1),2)+1)&gt;=1,(0*7+6-WEEKDAY(DATE($V$1,5,1),2)+1)&lt;=DAY(EOMONTH(DATE($V$1,5,1),0))),(0*7+6-WEEKDAY(DATE($V$1,5,1),2)+1),"")</f>
        <v>1</v>
      </c>
      <c r="I21" s="22" t="n">
        <f aca="false">IF(AND((0*7+7-WEEKDAY(DATE($V$1,5,1),2)+1)&gt;=1,(0*7+7-WEEKDAY(DATE($V$1,5,1),2)+1)&lt;=DAY(EOMONTH(DATE($V$1,5,1),0))),(0*7+7-WEEKDAY(DATE($V$1,5,1),2)+1),"")</f>
        <v>2</v>
      </c>
      <c r="K21" s="19" t="n">
        <f aca="false">IF(AND((0*7+7-WEEKDAY(DATE($V$1,6,1),2)+1)&gt;=1,(0*7+1-WEEKDAY(DATE($V$1,6,1),2)+1)&lt;=DAY(EOMONTH(DATE($V$1,6,1),0))),INT(((DATE($V$1,6,1)-WEEKDAY(DATE($V$1,6,1),2)+1+0*7)-DATE(YEAR((DATE($V$1,6,1)-WEEKDAY(DATE($V$1,6,1),2)+1+0*7)-WEEKDAY((DATE($V$1,6,1)-WEEKDAY(DATE($V$1,6,1),2)+1+0*7)-1)+4),1,3)+WEEKDAY(DATE(YEAR((DATE($V$1,6,1)-WEEKDAY(DATE($V$1,6,1),2)+1+0*7)-WEEKDAY((DATE($V$1,6,1)-WEEKDAY(DATE($V$1,6,1),2)+1+0*7)-1)+4),1,3))+5)/7),"")</f>
        <v>22</v>
      </c>
      <c r="L21" s="20" t="str">
        <f aca="false">IF(AND((0*7+1-WEEKDAY(DATE($V$1,6,1),2)+1)&gt;=1,(0*7+1-WEEKDAY(DATE($V$1,6,1),2)+1)&lt;=DAY(EOMONTH(DATE($V$1,6,1),0))),(0*7+1-WEEKDAY(DATE($V$1,6,1),2)+1),"")</f>
        <v/>
      </c>
      <c r="M21" s="20" t="n">
        <f aca="false">IF(AND((0*7+2-WEEKDAY(DATE($V$1,6,1),2)+1)&gt;=1,(0*7+2-WEEKDAY(DATE($V$1,6,1),2)+1)&lt;=DAY(EOMONTH(DATE($V$1,6,1),0))),(0*7+2-WEEKDAY(DATE($V$1,6,1),2)+1),"")</f>
        <v>1</v>
      </c>
      <c r="N21" s="20" t="n">
        <f aca="false">IF(AND((0*7+3-WEEKDAY(DATE($V$1,6,1),2)+1)&gt;=1,(0*7+3-WEEKDAY(DATE($V$1,6,1),2)+1)&lt;=DAY(EOMONTH(DATE($V$1,6,1),0))),(0*7+3-WEEKDAY(DATE($V$1,6,1),2)+1),"")</f>
        <v>2</v>
      </c>
      <c r="O21" s="20" t="n">
        <f aca="false">IF(AND((0*7+4-WEEKDAY(DATE($V$1,6,1),2)+1)&gt;=1,(0*7+4-WEEKDAY(DATE($V$1,6,1),2)+1)&lt;=DAY(EOMONTH(DATE($V$1,6,1),0))),(0*7+4-WEEKDAY(DATE($V$1,6,1),2)+1),"")</f>
        <v>3</v>
      </c>
      <c r="P21" s="20" t="n">
        <f aca="false">IF(AND((0*7+5-WEEKDAY(DATE($V$1,6,1),2)+1)&gt;=1,(0*7+5-WEEKDAY(DATE($V$1,6,1),2)+1)&lt;=DAY(EOMONTH(DATE($V$1,6,1),0))),(0*7+5-WEEKDAY(DATE($V$1,6,1),2)+1),"")</f>
        <v>4</v>
      </c>
      <c r="Q21" s="21" t="n">
        <f aca="false">IF(AND((0*7+6-WEEKDAY(DATE($V$1,6,1),2)+1)&gt;=1,(0*7+6-WEEKDAY(DATE($V$1,6,1),2)+1)&lt;=DAY(EOMONTH(DATE($V$1,6,1),0))),(0*7+6-WEEKDAY(DATE($V$1,6,1),2)+1),"")</f>
        <v>5</v>
      </c>
      <c r="R21" s="22" t="n">
        <f aca="false">IF(AND((0*7+7-WEEKDAY(DATE($V$1,6,1),2)+1)&gt;=1,(0*7+7-WEEKDAY(DATE($V$1,6,1),2)+1)&lt;=DAY(EOMONTH(DATE($V$1,6,1),0))),(0*7+7-WEEKDAY(DATE($V$1,6,1),2)+1),"")</f>
        <v>6</v>
      </c>
      <c r="T21" s="19" t="n">
        <f aca="false">IF(AND((0*7+7-WEEKDAY(DATE($V$1,7,1),2)+1)&gt;=1,(0*7+1-WEEKDAY(DATE($V$1,7,1),2)+1)&lt;=DAY(EOMONTH(DATE($V$1,7,1),0))),INT(((DATE($V$1,7,1)-WEEKDAY(DATE($V$1,7,1),2)+1+0*7)-DATE(YEAR((DATE($V$1,7,1)-WEEKDAY(DATE($V$1,7,1),2)+1+0*7)-WEEKDAY((DATE($V$1,7,1)-WEEKDAY(DATE($V$1,7,1),2)+1+0*7)-1)+4),1,3)+WEEKDAY(DATE(YEAR((DATE($V$1,7,1)-WEEKDAY(DATE($V$1,7,1),2)+1+0*7)-WEEKDAY((DATE($V$1,7,1)-WEEKDAY(DATE($V$1,7,1),2)+1+0*7)-1)+4),1,3))+5)/7),"")</f>
        <v>26</v>
      </c>
      <c r="U21" s="20" t="str">
        <f aca="false">IF(AND((0*7+1-WEEKDAY(DATE($V$1,7,1),2)+1)&gt;=1,(0*7+1-WEEKDAY(DATE($V$1,7,1),2)+1)&lt;=DAY(EOMONTH(DATE($V$1,7,1),0))),(0*7+1-WEEKDAY(DATE($V$1,7,1),2)+1),"")</f>
        <v/>
      </c>
      <c r="V21" s="20" t="str">
        <f aca="false">IF(AND((0*7+2-WEEKDAY(DATE($V$1,7,1),2)+1)&gt;=1,(0*7+2-WEEKDAY(DATE($V$1,7,1),2)+1)&lt;=DAY(EOMONTH(DATE($V$1,7,1),0))),(0*7+2-WEEKDAY(DATE($V$1,7,1),2)+1),"")</f>
        <v/>
      </c>
      <c r="W21" s="20" t="str">
        <f aca="false">IF(AND((0*7+3-WEEKDAY(DATE($V$1,7,1),2)+1)&gt;=1,(0*7+3-WEEKDAY(DATE($V$1,7,1),2)+1)&lt;=DAY(EOMONTH(DATE($V$1,7,1),0))),(0*7+3-WEEKDAY(DATE($V$1,7,1),2)+1),"")</f>
        <v/>
      </c>
      <c r="X21" s="20" t="n">
        <f aca="false">IF(AND((0*7+4-WEEKDAY(DATE($V$1,7,1),2)+1)&gt;=1,(0*7+4-WEEKDAY(DATE($V$1,7,1),2)+1)&lt;=DAY(EOMONTH(DATE($V$1,7,1),0))),(0*7+4-WEEKDAY(DATE($V$1,7,1),2)+1),"")</f>
        <v>1</v>
      </c>
      <c r="Y21" s="20" t="n">
        <f aca="false">IF(AND((0*7+5-WEEKDAY(DATE($V$1,7,1),2)+1)&gt;=1,(0*7+5-WEEKDAY(DATE($V$1,7,1),2)+1)&lt;=DAY(EOMONTH(DATE($V$1,7,1),0))),(0*7+5-WEEKDAY(DATE($V$1,7,1),2)+1),"")</f>
        <v>2</v>
      </c>
      <c r="Z21" s="21" t="n">
        <f aca="false">IF(AND((0*7+6-WEEKDAY(DATE($V$1,7,1),2)+1)&gt;=1,(0*7+6-WEEKDAY(DATE($V$1,7,1),2)+1)&lt;=DAY(EOMONTH(DATE($V$1,7,1),0))),(0*7+6-WEEKDAY(DATE($V$1,7,1),2)+1),"")</f>
        <v>3</v>
      </c>
      <c r="AA21" s="22" t="n">
        <f aca="false">IF(AND((0*7+7-WEEKDAY(DATE($V$1,7,1),2)+1)&gt;=1,(0*7+7-WEEKDAY(DATE($V$1,7,1),2)+1)&lt;=DAY(EOMONTH(DATE($V$1,7,1),0))),(0*7+7-WEEKDAY(DATE($V$1,7,1),2)+1),"")</f>
        <v>4</v>
      </c>
      <c r="AC21" s="19" t="n">
        <f aca="false">IF(AND((0*7+7-WEEKDAY(DATE($V$1,8,1),2)+1)&gt;=1,(0*7+1-WEEKDAY(DATE($V$1,8,1),2)+1)&lt;=DAY(EOMONTH(DATE($V$1,8,1),0))),INT(((DATE($V$1,8,1)-WEEKDAY(DATE($V$1,8,1),2)+1+0*7)-DATE(YEAR((DATE($V$1,8,1)-WEEKDAY(DATE($V$1,8,1),2)+1+0*7)-WEEKDAY((DATE($V$1,8,1)-WEEKDAY(DATE($V$1,8,1),2)+1+0*7)-1)+4),1,3)+WEEKDAY(DATE(YEAR((DATE($V$1,8,1)-WEEKDAY(DATE($V$1,8,1),2)+1+0*7)-WEEKDAY((DATE($V$1,8,1)-WEEKDAY(DATE($V$1,8,1),2)+1+0*7)-1)+4),1,3))+5)/7),"")</f>
        <v>30</v>
      </c>
      <c r="AD21" s="20" t="str">
        <f aca="false">IF(AND((0*7+1-WEEKDAY(DATE($V$1,8,1),2)+1)&gt;=1,(0*7+1-WEEKDAY(DATE($V$1,8,1),2)+1)&lt;=DAY(EOMONTH(DATE($V$1,8,1),0))),(0*7+1-WEEKDAY(DATE($V$1,8,1),2)+1),"")</f>
        <v/>
      </c>
      <c r="AE21" s="20" t="str">
        <f aca="false">IF(AND((0*7+2-WEEKDAY(DATE($V$1,8,1),2)+1)&gt;=1,(0*7+2-WEEKDAY(DATE($V$1,8,1),2)+1)&lt;=DAY(EOMONTH(DATE($V$1,8,1),0))),(0*7+2-WEEKDAY(DATE($V$1,8,1),2)+1),"")</f>
        <v/>
      </c>
      <c r="AF21" s="20" t="str">
        <f aca="false">IF(AND((0*7+3-WEEKDAY(DATE($V$1,8,1),2)+1)&gt;=1,(0*7+3-WEEKDAY(DATE($V$1,8,1),2)+1)&lt;=DAY(EOMONTH(DATE($V$1,8,1),0))),(0*7+3-WEEKDAY(DATE($V$1,8,1),2)+1),"")</f>
        <v/>
      </c>
      <c r="AG21" s="20" t="str">
        <f aca="false">IF(AND((0*7+4-WEEKDAY(DATE($V$1,8,1),2)+1)&gt;=1,(0*7+4-WEEKDAY(DATE($V$1,8,1),2)+1)&lt;=DAY(EOMONTH(DATE($V$1,8,1),0))),(0*7+4-WEEKDAY(DATE($V$1,8,1),2)+1),"")</f>
        <v/>
      </c>
      <c r="AH21" s="20" t="str">
        <f aca="false">IF(AND((0*7+5-WEEKDAY(DATE($V$1,8,1),2)+1)&gt;=1,(0*7+5-WEEKDAY(DATE($V$1,8,1),2)+1)&lt;=DAY(EOMONTH(DATE($V$1,8,1),0))),(0*7+5-WEEKDAY(DATE($V$1,8,1),2)+1),"")</f>
        <v/>
      </c>
      <c r="AI21" s="21" t="str">
        <f aca="false">IF(AND((0*7+6-WEEKDAY(DATE($V$1,8,1),2)+1)&gt;=1,(0*7+6-WEEKDAY(DATE($V$1,8,1),2)+1)&lt;=DAY(EOMONTH(DATE($V$1,8,1),0))),(0*7+6-WEEKDAY(DATE($V$1,8,1),2)+1),"")</f>
        <v/>
      </c>
      <c r="AJ21" s="22" t="n">
        <f aca="false">IF(AND((0*7+7-WEEKDAY(DATE($V$1,8,1),2)+1)&gt;=1,(0*7+7-WEEKDAY(DATE($V$1,8,1),2)+1)&lt;=DAY(EOMONTH(DATE($V$1,8,1),0))),(0*7+7-WEEKDAY(DATE($V$1,8,1),2)+1),"")</f>
        <v>1</v>
      </c>
    </row>
    <row r="22" customFormat="false" ht="15" hidden="false" customHeight="true" outlineLevel="0" collapsed="false">
      <c r="B22" s="19" t="n">
        <f aca="false">IF(AND((1*7+7-WEEKDAY(DATE($V$1,5,1),2)+1)&gt;=1,(1*7+1-WEEKDAY(DATE($V$1,5,1),2)+1)&lt;=DAY(EOMONTH(DATE($V$1,5,1),0))),INT(((DATE($V$1,5,1)-WEEKDAY(DATE($V$1,5,1),2)+1+1*7)-DATE(YEAR((DATE($V$1,5,1)-WEEKDAY(DATE($V$1,5,1),2)+1+1*7)-WEEKDAY((DATE($V$1,5,1)-WEEKDAY(DATE($V$1,5,1),2)+1+1*7)-1)+4),1,3)+WEEKDAY(DATE(YEAR((DATE($V$1,5,1)-WEEKDAY(DATE($V$1,5,1),2)+1+1*7)-WEEKDAY((DATE($V$1,5,1)-WEEKDAY(DATE($V$1,5,1),2)+1+1*7)-1)+4),1,3))+5)/7),"")</f>
        <v>18</v>
      </c>
      <c r="C22" s="20" t="n">
        <f aca="false">IF(AND((1*7+1-WEEKDAY(DATE($V$1,5,1),2)+1)&gt;=1,(1*7+1-WEEKDAY(DATE($V$1,5,1),2)+1)&lt;=DAY(EOMONTH(DATE($V$1,5,1),0))),(1*7+1-WEEKDAY(DATE($V$1,5,1),2)+1),"")</f>
        <v>3</v>
      </c>
      <c r="D22" s="20" t="n">
        <f aca="false">IF(AND((1*7+2-WEEKDAY(DATE($V$1,5,1),2)+1)&gt;=1,(1*7+2-WEEKDAY(DATE($V$1,5,1),2)+1)&lt;=DAY(EOMONTH(DATE($V$1,5,1),0))),(1*7+2-WEEKDAY(DATE($V$1,5,1),2)+1),"")</f>
        <v>4</v>
      </c>
      <c r="E22" s="20" t="n">
        <f aca="false">IF(AND((1*7+3-WEEKDAY(DATE($V$1,5,1),2)+1)&gt;=1,(1*7+3-WEEKDAY(DATE($V$1,5,1),2)+1)&lt;=DAY(EOMONTH(DATE($V$1,5,1),0))),(1*7+3-WEEKDAY(DATE($V$1,5,1),2)+1),"")</f>
        <v>5</v>
      </c>
      <c r="F22" s="20" t="n">
        <f aca="false">IF(AND((1*7+4-WEEKDAY(DATE($V$1,5,1),2)+1)&gt;=1,(1*7+4-WEEKDAY(DATE($V$1,5,1),2)+1)&lt;=DAY(EOMONTH(DATE($V$1,5,1),0))),(1*7+4-WEEKDAY(DATE($V$1,5,1),2)+1),"")</f>
        <v>6</v>
      </c>
      <c r="G22" s="20" t="n">
        <f aca="false">IF(AND((1*7+5-WEEKDAY(DATE($V$1,5,1),2)+1)&gt;=1,(1*7+5-WEEKDAY(DATE($V$1,5,1),2)+1)&lt;=DAY(EOMONTH(DATE($V$1,5,1),0))),(1*7+5-WEEKDAY(DATE($V$1,5,1),2)+1),"")</f>
        <v>7</v>
      </c>
      <c r="H22" s="21" t="n">
        <f aca="false">IF(AND((1*7+6-WEEKDAY(DATE($V$1,5,1),2)+1)&gt;=1,(1*7+6-WEEKDAY(DATE($V$1,5,1),2)+1)&lt;=DAY(EOMONTH(DATE($V$1,5,1),0))),(1*7+6-WEEKDAY(DATE($V$1,5,1),2)+1),"")</f>
        <v>8</v>
      </c>
      <c r="I22" s="22" t="n">
        <f aca="false">IF(AND((1*7+7-WEEKDAY(DATE($V$1,5,1),2)+1)&gt;=1,(1*7+7-WEEKDAY(DATE($V$1,5,1),2)+1)&lt;=DAY(EOMONTH(DATE($V$1,5,1),0))),(1*7+7-WEEKDAY(DATE($V$1,5,1),2)+1),"")</f>
        <v>9</v>
      </c>
      <c r="K22" s="19" t="n">
        <f aca="false">IF(AND((1*7+7-WEEKDAY(DATE($V$1,6,1),2)+1)&gt;=1,(1*7+1-WEEKDAY(DATE($V$1,6,1),2)+1)&lt;=DAY(EOMONTH(DATE($V$1,6,1),0))),INT(((DATE($V$1,6,1)-WEEKDAY(DATE($V$1,6,1),2)+1+1*7)-DATE(YEAR((DATE($V$1,6,1)-WEEKDAY(DATE($V$1,6,1),2)+1+1*7)-WEEKDAY((DATE($V$1,6,1)-WEEKDAY(DATE($V$1,6,1),2)+1+1*7)-1)+4),1,3)+WEEKDAY(DATE(YEAR((DATE($V$1,6,1)-WEEKDAY(DATE($V$1,6,1),2)+1+1*7)-WEEKDAY((DATE($V$1,6,1)-WEEKDAY(DATE($V$1,6,1),2)+1+1*7)-1)+4),1,3))+5)/7),"")</f>
        <v>23</v>
      </c>
      <c r="L22" s="20" t="n">
        <f aca="false">IF(AND((1*7+1-WEEKDAY(DATE($V$1,6,1),2)+1)&gt;=1,(1*7+1-WEEKDAY(DATE($V$1,6,1),2)+1)&lt;=DAY(EOMONTH(DATE($V$1,6,1),0))),(1*7+1-WEEKDAY(DATE($V$1,6,1),2)+1),"")</f>
        <v>7</v>
      </c>
      <c r="M22" s="20" t="n">
        <f aca="false">IF(AND((1*7+2-WEEKDAY(DATE($V$1,6,1),2)+1)&gt;=1,(1*7+2-WEEKDAY(DATE($V$1,6,1),2)+1)&lt;=DAY(EOMONTH(DATE($V$1,6,1),0))),(1*7+2-WEEKDAY(DATE($V$1,6,1),2)+1),"")</f>
        <v>8</v>
      </c>
      <c r="N22" s="20" t="n">
        <f aca="false">IF(AND((1*7+3-WEEKDAY(DATE($V$1,6,1),2)+1)&gt;=1,(1*7+3-WEEKDAY(DATE($V$1,6,1),2)+1)&lt;=DAY(EOMONTH(DATE($V$1,6,1),0))),(1*7+3-WEEKDAY(DATE($V$1,6,1),2)+1),"")</f>
        <v>9</v>
      </c>
      <c r="O22" s="20" t="n">
        <f aca="false">IF(AND((1*7+4-WEEKDAY(DATE($V$1,6,1),2)+1)&gt;=1,(1*7+4-WEEKDAY(DATE($V$1,6,1),2)+1)&lt;=DAY(EOMONTH(DATE($V$1,6,1),0))),(1*7+4-WEEKDAY(DATE($V$1,6,1),2)+1),"")</f>
        <v>10</v>
      </c>
      <c r="P22" s="20" t="n">
        <f aca="false">IF(AND((1*7+5-WEEKDAY(DATE($V$1,6,1),2)+1)&gt;=1,(1*7+5-WEEKDAY(DATE($V$1,6,1),2)+1)&lt;=DAY(EOMONTH(DATE($V$1,6,1),0))),(1*7+5-WEEKDAY(DATE($V$1,6,1),2)+1),"")</f>
        <v>11</v>
      </c>
      <c r="Q22" s="21" t="n">
        <f aca="false">IF(AND((1*7+6-WEEKDAY(DATE($V$1,6,1),2)+1)&gt;=1,(1*7+6-WEEKDAY(DATE($V$1,6,1),2)+1)&lt;=DAY(EOMONTH(DATE($V$1,6,1),0))),(1*7+6-WEEKDAY(DATE($V$1,6,1),2)+1),"")</f>
        <v>12</v>
      </c>
      <c r="R22" s="22" t="n">
        <f aca="false">IF(AND((1*7+7-WEEKDAY(DATE($V$1,6,1),2)+1)&gt;=1,(1*7+7-WEEKDAY(DATE($V$1,6,1),2)+1)&lt;=DAY(EOMONTH(DATE($V$1,6,1),0))),(1*7+7-WEEKDAY(DATE($V$1,6,1),2)+1),"")</f>
        <v>13</v>
      </c>
      <c r="T22" s="19" t="n">
        <f aca="false">IF(AND((1*7+7-WEEKDAY(DATE($V$1,7,1),2)+1)&gt;=1,(1*7+1-WEEKDAY(DATE($V$1,7,1),2)+1)&lt;=DAY(EOMONTH(DATE($V$1,7,1),0))),INT(((DATE($V$1,7,1)-WEEKDAY(DATE($V$1,7,1),2)+1+1*7)-DATE(YEAR((DATE($V$1,7,1)-WEEKDAY(DATE($V$1,7,1),2)+1+1*7)-WEEKDAY((DATE($V$1,7,1)-WEEKDAY(DATE($V$1,7,1),2)+1+1*7)-1)+4),1,3)+WEEKDAY(DATE(YEAR((DATE($V$1,7,1)-WEEKDAY(DATE($V$1,7,1),2)+1+1*7)-WEEKDAY((DATE($V$1,7,1)-WEEKDAY(DATE($V$1,7,1),2)+1+1*7)-1)+4),1,3))+5)/7),"")</f>
        <v>27</v>
      </c>
      <c r="U22" s="20" t="n">
        <f aca="false">IF(AND((1*7+1-WEEKDAY(DATE($V$1,7,1),2)+1)&gt;=1,(1*7+1-WEEKDAY(DATE($V$1,7,1),2)+1)&lt;=DAY(EOMONTH(DATE($V$1,7,1),0))),(1*7+1-WEEKDAY(DATE($V$1,7,1),2)+1),"")</f>
        <v>5</v>
      </c>
      <c r="V22" s="20" t="n">
        <f aca="false">IF(AND((1*7+2-WEEKDAY(DATE($V$1,7,1),2)+1)&gt;=1,(1*7+2-WEEKDAY(DATE($V$1,7,1),2)+1)&lt;=DAY(EOMONTH(DATE($V$1,7,1),0))),(1*7+2-WEEKDAY(DATE($V$1,7,1),2)+1),"")</f>
        <v>6</v>
      </c>
      <c r="W22" s="20" t="n">
        <f aca="false">IF(AND((1*7+3-WEEKDAY(DATE($V$1,7,1),2)+1)&gt;=1,(1*7+3-WEEKDAY(DATE($V$1,7,1),2)+1)&lt;=DAY(EOMONTH(DATE($V$1,7,1),0))),(1*7+3-WEEKDAY(DATE($V$1,7,1),2)+1),"")</f>
        <v>7</v>
      </c>
      <c r="X22" s="20" t="n">
        <f aca="false">IF(AND((1*7+4-WEEKDAY(DATE($V$1,7,1),2)+1)&gt;=1,(1*7+4-WEEKDAY(DATE($V$1,7,1),2)+1)&lt;=DAY(EOMONTH(DATE($V$1,7,1),0))),(1*7+4-WEEKDAY(DATE($V$1,7,1),2)+1),"")</f>
        <v>8</v>
      </c>
      <c r="Y22" s="20" t="n">
        <f aca="false">IF(AND((1*7+5-WEEKDAY(DATE($V$1,7,1),2)+1)&gt;=1,(1*7+5-WEEKDAY(DATE($V$1,7,1),2)+1)&lt;=DAY(EOMONTH(DATE($V$1,7,1),0))),(1*7+5-WEEKDAY(DATE($V$1,7,1),2)+1),"")</f>
        <v>9</v>
      </c>
      <c r="Z22" s="21" t="n">
        <f aca="false">IF(AND((1*7+6-WEEKDAY(DATE($V$1,7,1),2)+1)&gt;=1,(1*7+6-WEEKDAY(DATE($V$1,7,1),2)+1)&lt;=DAY(EOMONTH(DATE($V$1,7,1),0))),(1*7+6-WEEKDAY(DATE($V$1,7,1),2)+1),"")</f>
        <v>10</v>
      </c>
      <c r="AA22" s="22" t="n">
        <f aca="false">IF(AND((1*7+7-WEEKDAY(DATE($V$1,7,1),2)+1)&gt;=1,(1*7+7-WEEKDAY(DATE($V$1,7,1),2)+1)&lt;=DAY(EOMONTH(DATE($V$1,7,1),0))),(1*7+7-WEEKDAY(DATE($V$1,7,1),2)+1),"")</f>
        <v>11</v>
      </c>
      <c r="AC22" s="19" t="n">
        <f aca="false">IF(AND((1*7+7-WEEKDAY(DATE($V$1,8,1),2)+1)&gt;=1,(1*7+1-WEEKDAY(DATE($V$1,8,1),2)+1)&lt;=DAY(EOMONTH(DATE($V$1,8,1),0))),INT(((DATE($V$1,8,1)-WEEKDAY(DATE($V$1,8,1),2)+1+1*7)-DATE(YEAR((DATE($V$1,8,1)-WEEKDAY(DATE($V$1,8,1),2)+1+1*7)-WEEKDAY((DATE($V$1,8,1)-WEEKDAY(DATE($V$1,8,1),2)+1+1*7)-1)+4),1,3)+WEEKDAY(DATE(YEAR((DATE($V$1,8,1)-WEEKDAY(DATE($V$1,8,1),2)+1+1*7)-WEEKDAY((DATE($V$1,8,1)-WEEKDAY(DATE($V$1,8,1),2)+1+1*7)-1)+4),1,3))+5)/7),"")</f>
        <v>31</v>
      </c>
      <c r="AD22" s="20" t="n">
        <f aca="false">IF(AND((1*7+1-WEEKDAY(DATE($V$1,8,1),2)+1)&gt;=1,(1*7+1-WEEKDAY(DATE($V$1,8,1),2)+1)&lt;=DAY(EOMONTH(DATE($V$1,8,1),0))),(1*7+1-WEEKDAY(DATE($V$1,8,1),2)+1),"")</f>
        <v>2</v>
      </c>
      <c r="AE22" s="20" t="n">
        <f aca="false">IF(AND((1*7+2-WEEKDAY(DATE($V$1,8,1),2)+1)&gt;=1,(1*7+2-WEEKDAY(DATE($V$1,8,1),2)+1)&lt;=DAY(EOMONTH(DATE($V$1,8,1),0))),(1*7+2-WEEKDAY(DATE($V$1,8,1),2)+1),"")</f>
        <v>3</v>
      </c>
      <c r="AF22" s="20" t="n">
        <f aca="false">IF(AND((1*7+3-WEEKDAY(DATE($V$1,8,1),2)+1)&gt;=1,(1*7+3-WEEKDAY(DATE($V$1,8,1),2)+1)&lt;=DAY(EOMONTH(DATE($V$1,8,1),0))),(1*7+3-WEEKDAY(DATE($V$1,8,1),2)+1),"")</f>
        <v>4</v>
      </c>
      <c r="AG22" s="20" t="n">
        <f aca="false">IF(AND((1*7+4-WEEKDAY(DATE($V$1,8,1),2)+1)&gt;=1,(1*7+4-WEEKDAY(DATE($V$1,8,1),2)+1)&lt;=DAY(EOMONTH(DATE($V$1,8,1),0))),(1*7+4-WEEKDAY(DATE($V$1,8,1),2)+1),"")</f>
        <v>5</v>
      </c>
      <c r="AH22" s="20" t="n">
        <f aca="false">IF(AND((1*7+5-WEEKDAY(DATE($V$1,8,1),2)+1)&gt;=1,(1*7+5-WEEKDAY(DATE($V$1,8,1),2)+1)&lt;=DAY(EOMONTH(DATE($V$1,8,1),0))),(1*7+5-WEEKDAY(DATE($V$1,8,1),2)+1),"")</f>
        <v>6</v>
      </c>
      <c r="AI22" s="21" t="n">
        <f aca="false">IF(AND((1*7+6-WEEKDAY(DATE($V$1,8,1),2)+1)&gt;=1,(1*7+6-WEEKDAY(DATE($V$1,8,1),2)+1)&lt;=DAY(EOMONTH(DATE($V$1,8,1),0))),(1*7+6-WEEKDAY(DATE($V$1,8,1),2)+1),"")</f>
        <v>7</v>
      </c>
      <c r="AJ22" s="22" t="n">
        <f aca="false">IF(AND((1*7+7-WEEKDAY(DATE($V$1,8,1),2)+1)&gt;=1,(1*7+7-WEEKDAY(DATE($V$1,8,1),2)+1)&lt;=DAY(EOMONTH(DATE($V$1,8,1),0))),(1*7+7-WEEKDAY(DATE($V$1,8,1),2)+1),"")</f>
        <v>8</v>
      </c>
    </row>
    <row r="23" customFormat="false" ht="15" hidden="false" customHeight="true" outlineLevel="0" collapsed="false">
      <c r="B23" s="19" t="n">
        <f aca="false">IF(AND((2*7+7-WEEKDAY(DATE($V$1,5,1),2)+1)&gt;=1,(2*7+1-WEEKDAY(DATE($V$1,5,1),2)+1)&lt;=DAY(EOMONTH(DATE($V$1,5,1),0))),INT(((DATE($V$1,5,1)-WEEKDAY(DATE($V$1,5,1),2)+1+2*7)-DATE(YEAR((DATE($V$1,5,1)-WEEKDAY(DATE($V$1,5,1),2)+1+2*7)-WEEKDAY((DATE($V$1,5,1)-WEEKDAY(DATE($V$1,5,1),2)+1+2*7)-1)+4),1,3)+WEEKDAY(DATE(YEAR((DATE($V$1,5,1)-WEEKDAY(DATE($V$1,5,1),2)+1+2*7)-WEEKDAY((DATE($V$1,5,1)-WEEKDAY(DATE($V$1,5,1),2)+1+2*7)-1)+4),1,3))+5)/7),"")</f>
        <v>19</v>
      </c>
      <c r="C23" s="20" t="n">
        <f aca="false">IF(AND((2*7+1-WEEKDAY(DATE($V$1,5,1),2)+1)&gt;=1,(2*7+1-WEEKDAY(DATE($V$1,5,1),2)+1)&lt;=DAY(EOMONTH(DATE($V$1,5,1),0))),(2*7+1-WEEKDAY(DATE($V$1,5,1),2)+1),"")</f>
        <v>10</v>
      </c>
      <c r="D23" s="20" t="n">
        <f aca="false">IF(AND((2*7+2-WEEKDAY(DATE($V$1,5,1),2)+1)&gt;=1,(2*7+2-WEEKDAY(DATE($V$1,5,1),2)+1)&lt;=DAY(EOMONTH(DATE($V$1,5,1),0))),(2*7+2-WEEKDAY(DATE($V$1,5,1),2)+1),"")</f>
        <v>11</v>
      </c>
      <c r="E23" s="20" t="n">
        <f aca="false">IF(AND((2*7+3-WEEKDAY(DATE($V$1,5,1),2)+1)&gt;=1,(2*7+3-WEEKDAY(DATE($V$1,5,1),2)+1)&lt;=DAY(EOMONTH(DATE($V$1,5,1),0))),(2*7+3-WEEKDAY(DATE($V$1,5,1),2)+1),"")</f>
        <v>12</v>
      </c>
      <c r="F23" s="20" t="n">
        <f aca="false">IF(AND((2*7+4-WEEKDAY(DATE($V$1,5,1),2)+1)&gt;=1,(2*7+4-WEEKDAY(DATE($V$1,5,1),2)+1)&lt;=DAY(EOMONTH(DATE($V$1,5,1),0))),(2*7+4-WEEKDAY(DATE($V$1,5,1),2)+1),"")</f>
        <v>13</v>
      </c>
      <c r="G23" s="20" t="n">
        <f aca="false">IF(AND((2*7+5-WEEKDAY(DATE($V$1,5,1),2)+1)&gt;=1,(2*7+5-WEEKDAY(DATE($V$1,5,1),2)+1)&lt;=DAY(EOMONTH(DATE($V$1,5,1),0))),(2*7+5-WEEKDAY(DATE($V$1,5,1),2)+1),"")</f>
        <v>14</v>
      </c>
      <c r="H23" s="21" t="n">
        <f aca="false">IF(AND((2*7+6-WEEKDAY(DATE($V$1,5,1),2)+1)&gt;=1,(2*7+6-WEEKDAY(DATE($V$1,5,1),2)+1)&lt;=DAY(EOMONTH(DATE($V$1,5,1),0))),(2*7+6-WEEKDAY(DATE($V$1,5,1),2)+1),"")</f>
        <v>15</v>
      </c>
      <c r="I23" s="22" t="n">
        <f aca="false">IF(AND((2*7+7-WEEKDAY(DATE($V$1,5,1),2)+1)&gt;=1,(2*7+7-WEEKDAY(DATE($V$1,5,1),2)+1)&lt;=DAY(EOMONTH(DATE($V$1,5,1),0))),(2*7+7-WEEKDAY(DATE($V$1,5,1),2)+1),"")</f>
        <v>16</v>
      </c>
      <c r="K23" s="19" t="n">
        <f aca="false">IF(AND((2*7+7-WEEKDAY(DATE($V$1,6,1),2)+1)&gt;=1,(2*7+1-WEEKDAY(DATE($V$1,6,1),2)+1)&lt;=DAY(EOMONTH(DATE($V$1,6,1),0))),INT(((DATE($V$1,6,1)-WEEKDAY(DATE($V$1,6,1),2)+1+2*7)-DATE(YEAR((DATE($V$1,6,1)-WEEKDAY(DATE($V$1,6,1),2)+1+2*7)-WEEKDAY((DATE($V$1,6,1)-WEEKDAY(DATE($V$1,6,1),2)+1+2*7)-1)+4),1,3)+WEEKDAY(DATE(YEAR((DATE($V$1,6,1)-WEEKDAY(DATE($V$1,6,1),2)+1+2*7)-WEEKDAY((DATE($V$1,6,1)-WEEKDAY(DATE($V$1,6,1),2)+1+2*7)-1)+4),1,3))+5)/7),"")</f>
        <v>24</v>
      </c>
      <c r="L23" s="20" t="n">
        <f aca="false">IF(AND((2*7+1-WEEKDAY(DATE($V$1,6,1),2)+1)&gt;=1,(2*7+1-WEEKDAY(DATE($V$1,6,1),2)+1)&lt;=DAY(EOMONTH(DATE($V$1,6,1),0))),(2*7+1-WEEKDAY(DATE($V$1,6,1),2)+1),"")</f>
        <v>14</v>
      </c>
      <c r="M23" s="20" t="n">
        <f aca="false">IF(AND((2*7+2-WEEKDAY(DATE($V$1,6,1),2)+1)&gt;=1,(2*7+2-WEEKDAY(DATE($V$1,6,1),2)+1)&lt;=DAY(EOMONTH(DATE($V$1,6,1),0))),(2*7+2-WEEKDAY(DATE($V$1,6,1),2)+1),"")</f>
        <v>15</v>
      </c>
      <c r="N23" s="20" t="n">
        <f aca="false">IF(AND((2*7+3-WEEKDAY(DATE($V$1,6,1),2)+1)&gt;=1,(2*7+3-WEEKDAY(DATE($V$1,6,1),2)+1)&lt;=DAY(EOMONTH(DATE($V$1,6,1),0))),(2*7+3-WEEKDAY(DATE($V$1,6,1),2)+1),"")</f>
        <v>16</v>
      </c>
      <c r="O23" s="20" t="n">
        <f aca="false">IF(AND((2*7+4-WEEKDAY(DATE($V$1,6,1),2)+1)&gt;=1,(2*7+4-WEEKDAY(DATE($V$1,6,1),2)+1)&lt;=DAY(EOMONTH(DATE($V$1,6,1),0))),(2*7+4-WEEKDAY(DATE($V$1,6,1),2)+1),"")</f>
        <v>17</v>
      </c>
      <c r="P23" s="20" t="n">
        <f aca="false">IF(AND((2*7+5-WEEKDAY(DATE($V$1,6,1),2)+1)&gt;=1,(2*7+5-WEEKDAY(DATE($V$1,6,1),2)+1)&lt;=DAY(EOMONTH(DATE($V$1,6,1),0))),(2*7+5-WEEKDAY(DATE($V$1,6,1),2)+1),"")</f>
        <v>18</v>
      </c>
      <c r="Q23" s="21" t="n">
        <f aca="false">IF(AND((2*7+6-WEEKDAY(DATE($V$1,6,1),2)+1)&gt;=1,(2*7+6-WEEKDAY(DATE($V$1,6,1),2)+1)&lt;=DAY(EOMONTH(DATE($V$1,6,1),0))),(2*7+6-WEEKDAY(DATE($V$1,6,1),2)+1),"")</f>
        <v>19</v>
      </c>
      <c r="R23" s="22" t="n">
        <f aca="false">IF(AND((2*7+7-WEEKDAY(DATE($V$1,6,1),2)+1)&gt;=1,(2*7+7-WEEKDAY(DATE($V$1,6,1),2)+1)&lt;=DAY(EOMONTH(DATE($V$1,6,1),0))),(2*7+7-WEEKDAY(DATE($V$1,6,1),2)+1),"")</f>
        <v>20</v>
      </c>
      <c r="T23" s="19" t="n">
        <f aca="false">IF(AND((2*7+7-WEEKDAY(DATE($V$1,7,1),2)+1)&gt;=1,(2*7+1-WEEKDAY(DATE($V$1,7,1),2)+1)&lt;=DAY(EOMONTH(DATE($V$1,7,1),0))),INT(((DATE($V$1,7,1)-WEEKDAY(DATE($V$1,7,1),2)+1+2*7)-DATE(YEAR((DATE($V$1,7,1)-WEEKDAY(DATE($V$1,7,1),2)+1+2*7)-WEEKDAY((DATE($V$1,7,1)-WEEKDAY(DATE($V$1,7,1),2)+1+2*7)-1)+4),1,3)+WEEKDAY(DATE(YEAR((DATE($V$1,7,1)-WEEKDAY(DATE($V$1,7,1),2)+1+2*7)-WEEKDAY((DATE($V$1,7,1)-WEEKDAY(DATE($V$1,7,1),2)+1+2*7)-1)+4),1,3))+5)/7),"")</f>
        <v>28</v>
      </c>
      <c r="U23" s="20" t="n">
        <f aca="false">IF(AND((2*7+1-WEEKDAY(DATE($V$1,7,1),2)+1)&gt;=1,(2*7+1-WEEKDAY(DATE($V$1,7,1),2)+1)&lt;=DAY(EOMONTH(DATE($V$1,7,1),0))),(2*7+1-WEEKDAY(DATE($V$1,7,1),2)+1),"")</f>
        <v>12</v>
      </c>
      <c r="V23" s="20" t="n">
        <f aca="false">IF(AND((2*7+2-WEEKDAY(DATE($V$1,7,1),2)+1)&gt;=1,(2*7+2-WEEKDAY(DATE($V$1,7,1),2)+1)&lt;=DAY(EOMONTH(DATE($V$1,7,1),0))),(2*7+2-WEEKDAY(DATE($V$1,7,1),2)+1),"")</f>
        <v>13</v>
      </c>
      <c r="W23" s="20" t="n">
        <f aca="false">IF(AND((2*7+3-WEEKDAY(DATE($V$1,7,1),2)+1)&gt;=1,(2*7+3-WEEKDAY(DATE($V$1,7,1),2)+1)&lt;=DAY(EOMONTH(DATE($V$1,7,1),0))),(2*7+3-WEEKDAY(DATE($V$1,7,1),2)+1),"")</f>
        <v>14</v>
      </c>
      <c r="X23" s="20" t="n">
        <f aca="false">IF(AND((2*7+4-WEEKDAY(DATE($V$1,7,1),2)+1)&gt;=1,(2*7+4-WEEKDAY(DATE($V$1,7,1),2)+1)&lt;=DAY(EOMONTH(DATE($V$1,7,1),0))),(2*7+4-WEEKDAY(DATE($V$1,7,1),2)+1),"")</f>
        <v>15</v>
      </c>
      <c r="Y23" s="20" t="n">
        <f aca="false">IF(AND((2*7+5-WEEKDAY(DATE($V$1,7,1),2)+1)&gt;=1,(2*7+5-WEEKDAY(DATE($V$1,7,1),2)+1)&lt;=DAY(EOMONTH(DATE($V$1,7,1),0))),(2*7+5-WEEKDAY(DATE($V$1,7,1),2)+1),"")</f>
        <v>16</v>
      </c>
      <c r="Z23" s="21" t="n">
        <f aca="false">IF(AND((2*7+6-WEEKDAY(DATE($V$1,7,1),2)+1)&gt;=1,(2*7+6-WEEKDAY(DATE($V$1,7,1),2)+1)&lt;=DAY(EOMONTH(DATE($V$1,7,1),0))),(2*7+6-WEEKDAY(DATE($V$1,7,1),2)+1),"")</f>
        <v>17</v>
      </c>
      <c r="AA23" s="22" t="n">
        <f aca="false">IF(AND((2*7+7-WEEKDAY(DATE($V$1,7,1),2)+1)&gt;=1,(2*7+7-WEEKDAY(DATE($V$1,7,1),2)+1)&lt;=DAY(EOMONTH(DATE($V$1,7,1),0))),(2*7+7-WEEKDAY(DATE($V$1,7,1),2)+1),"")</f>
        <v>18</v>
      </c>
      <c r="AC23" s="19" t="n">
        <f aca="false">IF(AND((2*7+7-WEEKDAY(DATE($V$1,8,1),2)+1)&gt;=1,(2*7+1-WEEKDAY(DATE($V$1,8,1),2)+1)&lt;=DAY(EOMONTH(DATE($V$1,8,1),0))),INT(((DATE($V$1,8,1)-WEEKDAY(DATE($V$1,8,1),2)+1+2*7)-DATE(YEAR((DATE($V$1,8,1)-WEEKDAY(DATE($V$1,8,1),2)+1+2*7)-WEEKDAY((DATE($V$1,8,1)-WEEKDAY(DATE($V$1,8,1),2)+1+2*7)-1)+4),1,3)+WEEKDAY(DATE(YEAR((DATE($V$1,8,1)-WEEKDAY(DATE($V$1,8,1),2)+1+2*7)-WEEKDAY((DATE($V$1,8,1)-WEEKDAY(DATE($V$1,8,1),2)+1+2*7)-1)+4),1,3))+5)/7),"")</f>
        <v>32</v>
      </c>
      <c r="AD23" s="20" t="n">
        <f aca="false">IF(AND((2*7+1-WEEKDAY(DATE($V$1,8,1),2)+1)&gt;=1,(2*7+1-WEEKDAY(DATE($V$1,8,1),2)+1)&lt;=DAY(EOMONTH(DATE($V$1,8,1),0))),(2*7+1-WEEKDAY(DATE($V$1,8,1),2)+1),"")</f>
        <v>9</v>
      </c>
      <c r="AE23" s="20" t="n">
        <f aca="false">IF(AND((2*7+2-WEEKDAY(DATE($V$1,8,1),2)+1)&gt;=1,(2*7+2-WEEKDAY(DATE($V$1,8,1),2)+1)&lt;=DAY(EOMONTH(DATE($V$1,8,1),0))),(2*7+2-WEEKDAY(DATE($V$1,8,1),2)+1),"")</f>
        <v>10</v>
      </c>
      <c r="AF23" s="20" t="n">
        <f aca="false">IF(AND((2*7+3-WEEKDAY(DATE($V$1,8,1),2)+1)&gt;=1,(2*7+3-WEEKDAY(DATE($V$1,8,1),2)+1)&lt;=DAY(EOMONTH(DATE($V$1,8,1),0))),(2*7+3-WEEKDAY(DATE($V$1,8,1),2)+1),"")</f>
        <v>11</v>
      </c>
      <c r="AG23" s="20" t="n">
        <f aca="false">IF(AND((2*7+4-WEEKDAY(DATE($V$1,8,1),2)+1)&gt;=1,(2*7+4-WEEKDAY(DATE($V$1,8,1),2)+1)&lt;=DAY(EOMONTH(DATE($V$1,8,1),0))),(2*7+4-WEEKDAY(DATE($V$1,8,1),2)+1),"")</f>
        <v>12</v>
      </c>
      <c r="AH23" s="20" t="n">
        <f aca="false">IF(AND((2*7+5-WEEKDAY(DATE($V$1,8,1),2)+1)&gt;=1,(2*7+5-WEEKDAY(DATE($V$1,8,1),2)+1)&lt;=DAY(EOMONTH(DATE($V$1,8,1),0))),(2*7+5-WEEKDAY(DATE($V$1,8,1),2)+1),"")</f>
        <v>13</v>
      </c>
      <c r="AI23" s="21" t="n">
        <f aca="false">IF(AND((2*7+6-WEEKDAY(DATE($V$1,8,1),2)+1)&gt;=1,(2*7+6-WEEKDAY(DATE($V$1,8,1),2)+1)&lt;=DAY(EOMONTH(DATE($V$1,8,1),0))),(2*7+6-WEEKDAY(DATE($V$1,8,1),2)+1),"")</f>
        <v>14</v>
      </c>
      <c r="AJ23" s="22" t="n">
        <f aca="false">IF(AND((2*7+7-WEEKDAY(DATE($V$1,8,1),2)+1)&gt;=1,(2*7+7-WEEKDAY(DATE($V$1,8,1),2)+1)&lt;=DAY(EOMONTH(DATE($V$1,8,1),0))),(2*7+7-WEEKDAY(DATE($V$1,8,1),2)+1),"")</f>
        <v>15</v>
      </c>
    </row>
    <row r="24" customFormat="false" ht="15" hidden="false" customHeight="true" outlineLevel="0" collapsed="false">
      <c r="B24" s="19" t="n">
        <f aca="false">IF(AND((3*7+7-WEEKDAY(DATE($V$1,5,1),2)+1)&gt;=1,(3*7+1-WEEKDAY(DATE($V$1,5,1),2)+1)&lt;=DAY(EOMONTH(DATE($V$1,5,1),0))),INT(((DATE($V$1,5,1)-WEEKDAY(DATE($V$1,5,1),2)+1+3*7)-DATE(YEAR((DATE($V$1,5,1)-WEEKDAY(DATE($V$1,5,1),2)+1+3*7)-WEEKDAY((DATE($V$1,5,1)-WEEKDAY(DATE($V$1,5,1),2)+1+3*7)-1)+4),1,3)+WEEKDAY(DATE(YEAR((DATE($V$1,5,1)-WEEKDAY(DATE($V$1,5,1),2)+1+3*7)-WEEKDAY((DATE($V$1,5,1)-WEEKDAY(DATE($V$1,5,1),2)+1+3*7)-1)+4),1,3))+5)/7),"")</f>
        <v>20</v>
      </c>
      <c r="C24" s="20" t="n">
        <f aca="false">IF(AND((3*7+1-WEEKDAY(DATE($V$1,5,1),2)+1)&gt;=1,(3*7+1-WEEKDAY(DATE($V$1,5,1),2)+1)&lt;=DAY(EOMONTH(DATE($V$1,5,1),0))),(3*7+1-WEEKDAY(DATE($V$1,5,1),2)+1),"")</f>
        <v>17</v>
      </c>
      <c r="D24" s="20" t="n">
        <f aca="false">IF(AND((3*7+2-WEEKDAY(DATE($V$1,5,1),2)+1)&gt;=1,(3*7+2-WEEKDAY(DATE($V$1,5,1),2)+1)&lt;=DAY(EOMONTH(DATE($V$1,5,1),0))),(3*7+2-WEEKDAY(DATE($V$1,5,1),2)+1),"")</f>
        <v>18</v>
      </c>
      <c r="E24" s="20" t="n">
        <f aca="false">IF(AND((3*7+3-WEEKDAY(DATE($V$1,5,1),2)+1)&gt;=1,(3*7+3-WEEKDAY(DATE($V$1,5,1),2)+1)&lt;=DAY(EOMONTH(DATE($V$1,5,1),0))),(3*7+3-WEEKDAY(DATE($V$1,5,1),2)+1),"")</f>
        <v>19</v>
      </c>
      <c r="F24" s="20" t="n">
        <f aca="false">IF(AND((3*7+4-WEEKDAY(DATE($V$1,5,1),2)+1)&gt;=1,(3*7+4-WEEKDAY(DATE($V$1,5,1),2)+1)&lt;=DAY(EOMONTH(DATE($V$1,5,1),0))),(3*7+4-WEEKDAY(DATE($V$1,5,1),2)+1),"")</f>
        <v>20</v>
      </c>
      <c r="G24" s="20" t="n">
        <f aca="false">IF(AND((3*7+5-WEEKDAY(DATE($V$1,5,1),2)+1)&gt;=1,(3*7+5-WEEKDAY(DATE($V$1,5,1),2)+1)&lt;=DAY(EOMONTH(DATE($V$1,5,1),0))),(3*7+5-WEEKDAY(DATE($V$1,5,1),2)+1),"")</f>
        <v>21</v>
      </c>
      <c r="H24" s="21" t="n">
        <f aca="false">IF(AND((3*7+6-WEEKDAY(DATE($V$1,5,1),2)+1)&gt;=1,(3*7+6-WEEKDAY(DATE($V$1,5,1),2)+1)&lt;=DAY(EOMONTH(DATE($V$1,5,1),0))),(3*7+6-WEEKDAY(DATE($V$1,5,1),2)+1),"")</f>
        <v>22</v>
      </c>
      <c r="I24" s="22" t="n">
        <f aca="false">IF(AND((3*7+7-WEEKDAY(DATE($V$1,5,1),2)+1)&gt;=1,(3*7+7-WEEKDAY(DATE($V$1,5,1),2)+1)&lt;=DAY(EOMONTH(DATE($V$1,5,1),0))),(3*7+7-WEEKDAY(DATE($V$1,5,1),2)+1),"")</f>
        <v>23</v>
      </c>
      <c r="K24" s="19" t="n">
        <f aca="false">IF(AND((3*7+7-WEEKDAY(DATE($V$1,6,1),2)+1)&gt;=1,(3*7+1-WEEKDAY(DATE($V$1,6,1),2)+1)&lt;=DAY(EOMONTH(DATE($V$1,6,1),0))),INT(((DATE($V$1,6,1)-WEEKDAY(DATE($V$1,6,1),2)+1+3*7)-DATE(YEAR((DATE($V$1,6,1)-WEEKDAY(DATE($V$1,6,1),2)+1+3*7)-WEEKDAY((DATE($V$1,6,1)-WEEKDAY(DATE($V$1,6,1),2)+1+3*7)-1)+4),1,3)+WEEKDAY(DATE(YEAR((DATE($V$1,6,1)-WEEKDAY(DATE($V$1,6,1),2)+1+3*7)-WEEKDAY((DATE($V$1,6,1)-WEEKDAY(DATE($V$1,6,1),2)+1+3*7)-1)+4),1,3))+5)/7),"")</f>
        <v>25</v>
      </c>
      <c r="L24" s="20" t="n">
        <f aca="false">IF(AND((3*7+1-WEEKDAY(DATE($V$1,6,1),2)+1)&gt;=1,(3*7+1-WEEKDAY(DATE($V$1,6,1),2)+1)&lt;=DAY(EOMONTH(DATE($V$1,6,1),0))),(3*7+1-WEEKDAY(DATE($V$1,6,1),2)+1),"")</f>
        <v>21</v>
      </c>
      <c r="M24" s="20" t="n">
        <f aca="false">IF(AND((3*7+2-WEEKDAY(DATE($V$1,6,1),2)+1)&gt;=1,(3*7+2-WEEKDAY(DATE($V$1,6,1),2)+1)&lt;=DAY(EOMONTH(DATE($V$1,6,1),0))),(3*7+2-WEEKDAY(DATE($V$1,6,1),2)+1),"")</f>
        <v>22</v>
      </c>
      <c r="N24" s="20" t="n">
        <f aca="false">IF(AND((3*7+3-WEEKDAY(DATE($V$1,6,1),2)+1)&gt;=1,(3*7+3-WEEKDAY(DATE($V$1,6,1),2)+1)&lt;=DAY(EOMONTH(DATE($V$1,6,1),0))),(3*7+3-WEEKDAY(DATE($V$1,6,1),2)+1),"")</f>
        <v>23</v>
      </c>
      <c r="O24" s="20" t="n">
        <f aca="false">IF(AND((3*7+4-WEEKDAY(DATE($V$1,6,1),2)+1)&gt;=1,(3*7+4-WEEKDAY(DATE($V$1,6,1),2)+1)&lt;=DAY(EOMONTH(DATE($V$1,6,1),0))),(3*7+4-WEEKDAY(DATE($V$1,6,1),2)+1),"")</f>
        <v>24</v>
      </c>
      <c r="P24" s="20" t="n">
        <f aca="false">IF(AND((3*7+5-WEEKDAY(DATE($V$1,6,1),2)+1)&gt;=1,(3*7+5-WEEKDAY(DATE($V$1,6,1),2)+1)&lt;=DAY(EOMONTH(DATE($V$1,6,1),0))),(3*7+5-WEEKDAY(DATE($V$1,6,1),2)+1),"")</f>
        <v>25</v>
      </c>
      <c r="Q24" s="21" t="n">
        <f aca="false">IF(AND((3*7+6-WEEKDAY(DATE($V$1,6,1),2)+1)&gt;=1,(3*7+6-WEEKDAY(DATE($V$1,6,1),2)+1)&lt;=DAY(EOMONTH(DATE($V$1,6,1),0))),(3*7+6-WEEKDAY(DATE($V$1,6,1),2)+1),"")</f>
        <v>26</v>
      </c>
      <c r="R24" s="22" t="n">
        <f aca="false">IF(AND((3*7+7-WEEKDAY(DATE($V$1,6,1),2)+1)&gt;=1,(3*7+7-WEEKDAY(DATE($V$1,6,1),2)+1)&lt;=DAY(EOMONTH(DATE($V$1,6,1),0))),(3*7+7-WEEKDAY(DATE($V$1,6,1),2)+1),"")</f>
        <v>27</v>
      </c>
      <c r="T24" s="19" t="n">
        <f aca="false">IF(AND((3*7+7-WEEKDAY(DATE($V$1,7,1),2)+1)&gt;=1,(3*7+1-WEEKDAY(DATE($V$1,7,1),2)+1)&lt;=DAY(EOMONTH(DATE($V$1,7,1),0))),INT(((DATE($V$1,7,1)-WEEKDAY(DATE($V$1,7,1),2)+1+3*7)-DATE(YEAR((DATE($V$1,7,1)-WEEKDAY(DATE($V$1,7,1),2)+1+3*7)-WEEKDAY((DATE($V$1,7,1)-WEEKDAY(DATE($V$1,7,1),2)+1+3*7)-1)+4),1,3)+WEEKDAY(DATE(YEAR((DATE($V$1,7,1)-WEEKDAY(DATE($V$1,7,1),2)+1+3*7)-WEEKDAY((DATE($V$1,7,1)-WEEKDAY(DATE($V$1,7,1),2)+1+3*7)-1)+4),1,3))+5)/7),"")</f>
        <v>29</v>
      </c>
      <c r="U24" s="20" t="n">
        <f aca="false">IF(AND((3*7+1-WEEKDAY(DATE($V$1,7,1),2)+1)&gt;=1,(3*7+1-WEEKDAY(DATE($V$1,7,1),2)+1)&lt;=DAY(EOMONTH(DATE($V$1,7,1),0))),(3*7+1-WEEKDAY(DATE($V$1,7,1),2)+1),"")</f>
        <v>19</v>
      </c>
      <c r="V24" s="20" t="n">
        <f aca="false">IF(AND((3*7+2-WEEKDAY(DATE($V$1,7,1),2)+1)&gt;=1,(3*7+2-WEEKDAY(DATE($V$1,7,1),2)+1)&lt;=DAY(EOMONTH(DATE($V$1,7,1),0))),(3*7+2-WEEKDAY(DATE($V$1,7,1),2)+1),"")</f>
        <v>20</v>
      </c>
      <c r="W24" s="20" t="n">
        <f aca="false">IF(AND((3*7+3-WEEKDAY(DATE($V$1,7,1),2)+1)&gt;=1,(3*7+3-WEEKDAY(DATE($V$1,7,1),2)+1)&lt;=DAY(EOMONTH(DATE($V$1,7,1),0))),(3*7+3-WEEKDAY(DATE($V$1,7,1),2)+1),"")</f>
        <v>21</v>
      </c>
      <c r="X24" s="20" t="n">
        <f aca="false">IF(AND((3*7+4-WEEKDAY(DATE($V$1,7,1),2)+1)&gt;=1,(3*7+4-WEEKDAY(DATE($V$1,7,1),2)+1)&lt;=DAY(EOMONTH(DATE($V$1,7,1),0))),(3*7+4-WEEKDAY(DATE($V$1,7,1),2)+1),"")</f>
        <v>22</v>
      </c>
      <c r="Y24" s="20" t="n">
        <f aca="false">IF(AND((3*7+5-WEEKDAY(DATE($V$1,7,1),2)+1)&gt;=1,(3*7+5-WEEKDAY(DATE($V$1,7,1),2)+1)&lt;=DAY(EOMONTH(DATE($V$1,7,1),0))),(3*7+5-WEEKDAY(DATE($V$1,7,1),2)+1),"")</f>
        <v>23</v>
      </c>
      <c r="Z24" s="21" t="n">
        <f aca="false">IF(AND((3*7+6-WEEKDAY(DATE($V$1,7,1),2)+1)&gt;=1,(3*7+6-WEEKDAY(DATE($V$1,7,1),2)+1)&lt;=DAY(EOMONTH(DATE($V$1,7,1),0))),(3*7+6-WEEKDAY(DATE($V$1,7,1),2)+1),"")</f>
        <v>24</v>
      </c>
      <c r="AA24" s="22" t="n">
        <f aca="false">IF(AND((3*7+7-WEEKDAY(DATE($V$1,7,1),2)+1)&gt;=1,(3*7+7-WEEKDAY(DATE($V$1,7,1),2)+1)&lt;=DAY(EOMONTH(DATE($V$1,7,1),0))),(3*7+7-WEEKDAY(DATE($V$1,7,1),2)+1),"")</f>
        <v>25</v>
      </c>
      <c r="AC24" s="19" t="n">
        <f aca="false">IF(AND((3*7+7-WEEKDAY(DATE($V$1,8,1),2)+1)&gt;=1,(3*7+1-WEEKDAY(DATE($V$1,8,1),2)+1)&lt;=DAY(EOMONTH(DATE($V$1,8,1),0))),INT(((DATE($V$1,8,1)-WEEKDAY(DATE($V$1,8,1),2)+1+3*7)-DATE(YEAR((DATE($V$1,8,1)-WEEKDAY(DATE($V$1,8,1),2)+1+3*7)-WEEKDAY((DATE($V$1,8,1)-WEEKDAY(DATE($V$1,8,1),2)+1+3*7)-1)+4),1,3)+WEEKDAY(DATE(YEAR((DATE($V$1,8,1)-WEEKDAY(DATE($V$1,8,1),2)+1+3*7)-WEEKDAY((DATE($V$1,8,1)-WEEKDAY(DATE($V$1,8,1),2)+1+3*7)-1)+4),1,3))+5)/7),"")</f>
        <v>33</v>
      </c>
      <c r="AD24" s="20" t="n">
        <f aca="false">IF(AND((3*7+1-WEEKDAY(DATE($V$1,8,1),2)+1)&gt;=1,(3*7+1-WEEKDAY(DATE($V$1,8,1),2)+1)&lt;=DAY(EOMONTH(DATE($V$1,8,1),0))),(3*7+1-WEEKDAY(DATE($V$1,8,1),2)+1),"")</f>
        <v>16</v>
      </c>
      <c r="AE24" s="20" t="n">
        <f aca="false">IF(AND((3*7+2-WEEKDAY(DATE($V$1,8,1),2)+1)&gt;=1,(3*7+2-WEEKDAY(DATE($V$1,8,1),2)+1)&lt;=DAY(EOMONTH(DATE($V$1,8,1),0))),(3*7+2-WEEKDAY(DATE($V$1,8,1),2)+1),"")</f>
        <v>17</v>
      </c>
      <c r="AF24" s="20" t="n">
        <f aca="false">IF(AND((3*7+3-WEEKDAY(DATE($V$1,8,1),2)+1)&gt;=1,(3*7+3-WEEKDAY(DATE($V$1,8,1),2)+1)&lt;=DAY(EOMONTH(DATE($V$1,8,1),0))),(3*7+3-WEEKDAY(DATE($V$1,8,1),2)+1),"")</f>
        <v>18</v>
      </c>
      <c r="AG24" s="20" t="n">
        <f aca="false">IF(AND((3*7+4-WEEKDAY(DATE($V$1,8,1),2)+1)&gt;=1,(3*7+4-WEEKDAY(DATE($V$1,8,1),2)+1)&lt;=DAY(EOMONTH(DATE($V$1,8,1),0))),(3*7+4-WEEKDAY(DATE($V$1,8,1),2)+1),"")</f>
        <v>19</v>
      </c>
      <c r="AH24" s="20" t="n">
        <f aca="false">IF(AND((3*7+5-WEEKDAY(DATE($V$1,8,1),2)+1)&gt;=1,(3*7+5-WEEKDAY(DATE($V$1,8,1),2)+1)&lt;=DAY(EOMONTH(DATE($V$1,8,1),0))),(3*7+5-WEEKDAY(DATE($V$1,8,1),2)+1),"")</f>
        <v>20</v>
      </c>
      <c r="AI24" s="21" t="n">
        <f aca="false">IF(AND((3*7+6-WEEKDAY(DATE($V$1,8,1),2)+1)&gt;=1,(3*7+6-WEEKDAY(DATE($V$1,8,1),2)+1)&lt;=DAY(EOMONTH(DATE($V$1,8,1),0))),(3*7+6-WEEKDAY(DATE($V$1,8,1),2)+1),"")</f>
        <v>21</v>
      </c>
      <c r="AJ24" s="22" t="n">
        <f aca="false">IF(AND((3*7+7-WEEKDAY(DATE($V$1,8,1),2)+1)&gt;=1,(3*7+7-WEEKDAY(DATE($V$1,8,1),2)+1)&lt;=DAY(EOMONTH(DATE($V$1,8,1),0))),(3*7+7-WEEKDAY(DATE($V$1,8,1),2)+1),"")</f>
        <v>22</v>
      </c>
    </row>
    <row r="25" customFormat="false" ht="15" hidden="false" customHeight="true" outlineLevel="0" collapsed="false">
      <c r="B25" s="19" t="n">
        <f aca="false">IF(AND((4*7+7-WEEKDAY(DATE($V$1,5,1),2)+1)&gt;=1,(4*7+1-WEEKDAY(DATE($V$1,5,1),2)+1)&lt;=DAY(EOMONTH(DATE($V$1,5,1),0))),INT(((DATE($V$1,5,1)-WEEKDAY(DATE($V$1,5,1),2)+1+4*7)-DATE(YEAR((DATE($V$1,5,1)-WEEKDAY(DATE($V$1,5,1),2)+1+4*7)-WEEKDAY((DATE($V$1,5,1)-WEEKDAY(DATE($V$1,5,1),2)+1+4*7)-1)+4),1,3)+WEEKDAY(DATE(YEAR((DATE($V$1,5,1)-WEEKDAY(DATE($V$1,5,1),2)+1+4*7)-WEEKDAY((DATE($V$1,5,1)-WEEKDAY(DATE($V$1,5,1),2)+1+4*7)-1)+4),1,3))+5)/7),"")</f>
        <v>21</v>
      </c>
      <c r="C25" s="20" t="n">
        <f aca="false">IF(AND((4*7+1-WEEKDAY(DATE($V$1,5,1),2)+1)&gt;=1,(4*7+1-WEEKDAY(DATE($V$1,5,1),2)+1)&lt;=DAY(EOMONTH(DATE($V$1,5,1),0))),(4*7+1-WEEKDAY(DATE($V$1,5,1),2)+1),"")</f>
        <v>24</v>
      </c>
      <c r="D25" s="20" t="n">
        <f aca="false">IF(AND((4*7+2-WEEKDAY(DATE($V$1,5,1),2)+1)&gt;=1,(4*7+2-WEEKDAY(DATE($V$1,5,1),2)+1)&lt;=DAY(EOMONTH(DATE($V$1,5,1),0))),(4*7+2-WEEKDAY(DATE($V$1,5,1),2)+1),"")</f>
        <v>25</v>
      </c>
      <c r="E25" s="20" t="n">
        <f aca="false">IF(AND((4*7+3-WEEKDAY(DATE($V$1,5,1),2)+1)&gt;=1,(4*7+3-WEEKDAY(DATE($V$1,5,1),2)+1)&lt;=DAY(EOMONTH(DATE($V$1,5,1),0))),(4*7+3-WEEKDAY(DATE($V$1,5,1),2)+1),"")</f>
        <v>26</v>
      </c>
      <c r="F25" s="20" t="n">
        <f aca="false">IF(AND((4*7+4-WEEKDAY(DATE($V$1,5,1),2)+1)&gt;=1,(4*7+4-WEEKDAY(DATE($V$1,5,1),2)+1)&lt;=DAY(EOMONTH(DATE($V$1,5,1),0))),(4*7+4-WEEKDAY(DATE($V$1,5,1),2)+1),"")</f>
        <v>27</v>
      </c>
      <c r="G25" s="20" t="n">
        <f aca="false">IF(AND((4*7+5-WEEKDAY(DATE($V$1,5,1),2)+1)&gt;=1,(4*7+5-WEEKDAY(DATE($V$1,5,1),2)+1)&lt;=DAY(EOMONTH(DATE($V$1,5,1),0))),(4*7+5-WEEKDAY(DATE($V$1,5,1),2)+1),"")</f>
        <v>28</v>
      </c>
      <c r="H25" s="21" t="n">
        <f aca="false">IF(AND((4*7+6-WEEKDAY(DATE($V$1,5,1),2)+1)&gt;=1,(4*7+6-WEEKDAY(DATE($V$1,5,1),2)+1)&lt;=DAY(EOMONTH(DATE($V$1,5,1),0))),(4*7+6-WEEKDAY(DATE($V$1,5,1),2)+1),"")</f>
        <v>29</v>
      </c>
      <c r="I25" s="22" t="n">
        <f aca="false">IF(AND((4*7+7-WEEKDAY(DATE($V$1,5,1),2)+1)&gt;=1,(4*7+7-WEEKDAY(DATE($V$1,5,1),2)+1)&lt;=DAY(EOMONTH(DATE($V$1,5,1),0))),(4*7+7-WEEKDAY(DATE($V$1,5,1),2)+1),"")</f>
        <v>30</v>
      </c>
      <c r="K25" s="19" t="n">
        <f aca="false">IF(AND((4*7+7-WEEKDAY(DATE($V$1,6,1),2)+1)&gt;=1,(4*7+1-WEEKDAY(DATE($V$1,6,1),2)+1)&lt;=DAY(EOMONTH(DATE($V$1,6,1),0))),INT(((DATE($V$1,6,1)-WEEKDAY(DATE($V$1,6,1),2)+1+4*7)-DATE(YEAR((DATE($V$1,6,1)-WEEKDAY(DATE($V$1,6,1),2)+1+4*7)-WEEKDAY((DATE($V$1,6,1)-WEEKDAY(DATE($V$1,6,1),2)+1+4*7)-1)+4),1,3)+WEEKDAY(DATE(YEAR((DATE($V$1,6,1)-WEEKDAY(DATE($V$1,6,1),2)+1+4*7)-WEEKDAY((DATE($V$1,6,1)-WEEKDAY(DATE($V$1,6,1),2)+1+4*7)-1)+4),1,3))+5)/7),"")</f>
        <v>26</v>
      </c>
      <c r="L25" s="20" t="n">
        <f aca="false">IF(AND((4*7+1-WEEKDAY(DATE($V$1,6,1),2)+1)&gt;=1,(4*7+1-WEEKDAY(DATE($V$1,6,1),2)+1)&lt;=DAY(EOMONTH(DATE($V$1,6,1),0))),(4*7+1-WEEKDAY(DATE($V$1,6,1),2)+1),"")</f>
        <v>28</v>
      </c>
      <c r="M25" s="20" t="n">
        <f aca="false">IF(AND((4*7+2-WEEKDAY(DATE($V$1,6,1),2)+1)&gt;=1,(4*7+2-WEEKDAY(DATE($V$1,6,1),2)+1)&lt;=DAY(EOMONTH(DATE($V$1,6,1),0))),(4*7+2-WEEKDAY(DATE($V$1,6,1),2)+1),"")</f>
        <v>29</v>
      </c>
      <c r="N25" s="20" t="n">
        <f aca="false">IF(AND((4*7+3-WEEKDAY(DATE($V$1,6,1),2)+1)&gt;=1,(4*7+3-WEEKDAY(DATE($V$1,6,1),2)+1)&lt;=DAY(EOMONTH(DATE($V$1,6,1),0))),(4*7+3-WEEKDAY(DATE($V$1,6,1),2)+1),"")</f>
        <v>30</v>
      </c>
      <c r="O25" s="20" t="str">
        <f aca="false">IF(AND((4*7+4-WEEKDAY(DATE($V$1,6,1),2)+1)&gt;=1,(4*7+4-WEEKDAY(DATE($V$1,6,1),2)+1)&lt;=DAY(EOMONTH(DATE($V$1,6,1),0))),(4*7+4-WEEKDAY(DATE($V$1,6,1),2)+1),"")</f>
        <v/>
      </c>
      <c r="P25" s="20" t="str">
        <f aca="false">IF(AND((4*7+5-WEEKDAY(DATE($V$1,6,1),2)+1)&gt;=1,(4*7+5-WEEKDAY(DATE($V$1,6,1),2)+1)&lt;=DAY(EOMONTH(DATE($V$1,6,1),0))),(4*7+5-WEEKDAY(DATE($V$1,6,1),2)+1),"")</f>
        <v/>
      </c>
      <c r="Q25" s="21" t="str">
        <f aca="false">IF(AND((4*7+6-WEEKDAY(DATE($V$1,6,1),2)+1)&gt;=1,(4*7+6-WEEKDAY(DATE($V$1,6,1),2)+1)&lt;=DAY(EOMONTH(DATE($V$1,6,1),0))),(4*7+6-WEEKDAY(DATE($V$1,6,1),2)+1),"")</f>
        <v/>
      </c>
      <c r="R25" s="22" t="str">
        <f aca="false">IF(AND((4*7+7-WEEKDAY(DATE($V$1,6,1),2)+1)&gt;=1,(4*7+7-WEEKDAY(DATE($V$1,6,1),2)+1)&lt;=DAY(EOMONTH(DATE($V$1,6,1),0))),(4*7+7-WEEKDAY(DATE($V$1,6,1),2)+1),"")</f>
        <v/>
      </c>
      <c r="T25" s="19" t="n">
        <f aca="false">IF(AND((4*7+7-WEEKDAY(DATE($V$1,7,1),2)+1)&gt;=1,(4*7+1-WEEKDAY(DATE($V$1,7,1),2)+1)&lt;=DAY(EOMONTH(DATE($V$1,7,1),0))),INT(((DATE($V$1,7,1)-WEEKDAY(DATE($V$1,7,1),2)+1+4*7)-DATE(YEAR((DATE($V$1,7,1)-WEEKDAY(DATE($V$1,7,1),2)+1+4*7)-WEEKDAY((DATE($V$1,7,1)-WEEKDAY(DATE($V$1,7,1),2)+1+4*7)-1)+4),1,3)+WEEKDAY(DATE(YEAR((DATE($V$1,7,1)-WEEKDAY(DATE($V$1,7,1),2)+1+4*7)-WEEKDAY((DATE($V$1,7,1)-WEEKDAY(DATE($V$1,7,1),2)+1+4*7)-1)+4),1,3))+5)/7),"")</f>
        <v>30</v>
      </c>
      <c r="U25" s="20" t="n">
        <f aca="false">IF(AND((4*7+1-WEEKDAY(DATE($V$1,7,1),2)+1)&gt;=1,(4*7+1-WEEKDAY(DATE($V$1,7,1),2)+1)&lt;=DAY(EOMONTH(DATE($V$1,7,1),0))),(4*7+1-WEEKDAY(DATE($V$1,7,1),2)+1),"")</f>
        <v>26</v>
      </c>
      <c r="V25" s="20" t="n">
        <f aca="false">IF(AND((4*7+2-WEEKDAY(DATE($V$1,7,1),2)+1)&gt;=1,(4*7+2-WEEKDAY(DATE($V$1,7,1),2)+1)&lt;=DAY(EOMONTH(DATE($V$1,7,1),0))),(4*7+2-WEEKDAY(DATE($V$1,7,1),2)+1),"")</f>
        <v>27</v>
      </c>
      <c r="W25" s="20" t="n">
        <f aca="false">IF(AND((4*7+3-WEEKDAY(DATE($V$1,7,1),2)+1)&gt;=1,(4*7+3-WEEKDAY(DATE($V$1,7,1),2)+1)&lt;=DAY(EOMONTH(DATE($V$1,7,1),0))),(4*7+3-WEEKDAY(DATE($V$1,7,1),2)+1),"")</f>
        <v>28</v>
      </c>
      <c r="X25" s="20" t="n">
        <f aca="false">IF(AND((4*7+4-WEEKDAY(DATE($V$1,7,1),2)+1)&gt;=1,(4*7+4-WEEKDAY(DATE($V$1,7,1),2)+1)&lt;=DAY(EOMONTH(DATE($V$1,7,1),0))),(4*7+4-WEEKDAY(DATE($V$1,7,1),2)+1),"")</f>
        <v>29</v>
      </c>
      <c r="Y25" s="20" t="n">
        <f aca="false">IF(AND((4*7+5-WEEKDAY(DATE($V$1,7,1),2)+1)&gt;=1,(4*7+5-WEEKDAY(DATE($V$1,7,1),2)+1)&lt;=DAY(EOMONTH(DATE($V$1,7,1),0))),(4*7+5-WEEKDAY(DATE($V$1,7,1),2)+1),"")</f>
        <v>30</v>
      </c>
      <c r="Z25" s="21" t="n">
        <f aca="false">IF(AND((4*7+6-WEEKDAY(DATE($V$1,7,1),2)+1)&gt;=1,(4*7+6-WEEKDAY(DATE($V$1,7,1),2)+1)&lt;=DAY(EOMONTH(DATE($V$1,7,1),0))),(4*7+6-WEEKDAY(DATE($V$1,7,1),2)+1),"")</f>
        <v>31</v>
      </c>
      <c r="AA25" s="22" t="str">
        <f aca="false">IF(AND((4*7+7-WEEKDAY(DATE($V$1,7,1),2)+1)&gt;=1,(4*7+7-WEEKDAY(DATE($V$1,7,1),2)+1)&lt;=DAY(EOMONTH(DATE($V$1,7,1),0))),(4*7+7-WEEKDAY(DATE($V$1,7,1),2)+1),"")</f>
        <v/>
      </c>
      <c r="AC25" s="19" t="n">
        <f aca="false">IF(AND((4*7+7-WEEKDAY(DATE($V$1,8,1),2)+1)&gt;=1,(4*7+1-WEEKDAY(DATE($V$1,8,1),2)+1)&lt;=DAY(EOMONTH(DATE($V$1,8,1),0))),INT(((DATE($V$1,8,1)-WEEKDAY(DATE($V$1,8,1),2)+1+4*7)-DATE(YEAR((DATE($V$1,8,1)-WEEKDAY(DATE($V$1,8,1),2)+1+4*7)-WEEKDAY((DATE($V$1,8,1)-WEEKDAY(DATE($V$1,8,1),2)+1+4*7)-1)+4),1,3)+WEEKDAY(DATE(YEAR((DATE($V$1,8,1)-WEEKDAY(DATE($V$1,8,1),2)+1+4*7)-WEEKDAY((DATE($V$1,8,1)-WEEKDAY(DATE($V$1,8,1),2)+1+4*7)-1)+4),1,3))+5)/7),"")</f>
        <v>34</v>
      </c>
      <c r="AD25" s="20" t="n">
        <f aca="false">IF(AND((4*7+1-WEEKDAY(DATE($V$1,8,1),2)+1)&gt;=1,(4*7+1-WEEKDAY(DATE($V$1,8,1),2)+1)&lt;=DAY(EOMONTH(DATE($V$1,8,1),0))),(4*7+1-WEEKDAY(DATE($V$1,8,1),2)+1),"")</f>
        <v>23</v>
      </c>
      <c r="AE25" s="20" t="n">
        <f aca="false">IF(AND((4*7+2-WEEKDAY(DATE($V$1,8,1),2)+1)&gt;=1,(4*7+2-WEEKDAY(DATE($V$1,8,1),2)+1)&lt;=DAY(EOMONTH(DATE($V$1,8,1),0))),(4*7+2-WEEKDAY(DATE($V$1,8,1),2)+1),"")</f>
        <v>24</v>
      </c>
      <c r="AF25" s="20" t="n">
        <f aca="false">IF(AND((4*7+3-WEEKDAY(DATE($V$1,8,1),2)+1)&gt;=1,(4*7+3-WEEKDAY(DATE($V$1,8,1),2)+1)&lt;=DAY(EOMONTH(DATE($V$1,8,1),0))),(4*7+3-WEEKDAY(DATE($V$1,8,1),2)+1),"")</f>
        <v>25</v>
      </c>
      <c r="AG25" s="20" t="n">
        <f aca="false">IF(AND((4*7+4-WEEKDAY(DATE($V$1,8,1),2)+1)&gt;=1,(4*7+4-WEEKDAY(DATE($V$1,8,1),2)+1)&lt;=DAY(EOMONTH(DATE($V$1,8,1),0))),(4*7+4-WEEKDAY(DATE($V$1,8,1),2)+1),"")</f>
        <v>26</v>
      </c>
      <c r="AH25" s="20" t="n">
        <f aca="false">IF(AND((4*7+5-WEEKDAY(DATE($V$1,8,1),2)+1)&gt;=1,(4*7+5-WEEKDAY(DATE($V$1,8,1),2)+1)&lt;=DAY(EOMONTH(DATE($V$1,8,1),0))),(4*7+5-WEEKDAY(DATE($V$1,8,1),2)+1),"")</f>
        <v>27</v>
      </c>
      <c r="AI25" s="21" t="n">
        <f aca="false">IF(AND((4*7+6-WEEKDAY(DATE($V$1,8,1),2)+1)&gt;=1,(4*7+6-WEEKDAY(DATE($V$1,8,1),2)+1)&lt;=DAY(EOMONTH(DATE($V$1,8,1),0))),(4*7+6-WEEKDAY(DATE($V$1,8,1),2)+1),"")</f>
        <v>28</v>
      </c>
      <c r="AJ25" s="22" t="n">
        <f aca="false">IF(AND((4*7+7-WEEKDAY(DATE($V$1,8,1),2)+1)&gt;=1,(4*7+7-WEEKDAY(DATE($V$1,8,1),2)+1)&lt;=DAY(EOMONTH(DATE($V$1,8,1),0))),(4*7+7-WEEKDAY(DATE($V$1,8,1),2)+1),"")</f>
        <v>29</v>
      </c>
    </row>
    <row r="26" customFormat="false" ht="15" hidden="false" customHeight="true" outlineLevel="0" collapsed="false">
      <c r="B26" s="19" t="n">
        <f aca="false">IF(AND((5*7+7-WEEKDAY(DATE($V$1,5,1),2)+1)&gt;=1,(5*7+1-WEEKDAY(DATE($V$1,5,1),2)+1)&lt;=DAY(EOMONTH(DATE($V$1,5,1),0))),INT(((DATE($V$1,5,1)-WEEKDAY(DATE($V$1,5,1),2)+1+5*7)-DATE(YEAR((DATE($V$1,5,1)-WEEKDAY(DATE($V$1,5,1),2)+1+5*7)-WEEKDAY((DATE($V$1,5,1)-WEEKDAY(DATE($V$1,5,1),2)+1+5*7)-1)+4),1,3)+WEEKDAY(DATE(YEAR((DATE($V$1,5,1)-WEEKDAY(DATE($V$1,5,1),2)+1+5*7)-WEEKDAY((DATE($V$1,5,1)-WEEKDAY(DATE($V$1,5,1),2)+1+5*7)-1)+4),1,3))+5)/7),"")</f>
        <v>22</v>
      </c>
      <c r="C26" s="20" t="n">
        <f aca="false">IF(AND((5*7+1-WEEKDAY(DATE($V$1,5,1),2)+1)&gt;=1,(5*7+1-WEEKDAY(DATE($V$1,5,1),2)+1)&lt;=DAY(EOMONTH(DATE($V$1,5,1),0))),(5*7+1-WEEKDAY(DATE($V$1,5,1),2)+1),"")</f>
        <v>31</v>
      </c>
      <c r="D26" s="20" t="str">
        <f aca="false">IF(AND((5*7+2-WEEKDAY(DATE($V$1,5,1),2)+1)&gt;=1,(5*7+2-WEEKDAY(DATE($V$1,5,1),2)+1)&lt;=DAY(EOMONTH(DATE($V$1,5,1),0))),(5*7+2-WEEKDAY(DATE($V$1,5,1),2)+1),"")</f>
        <v/>
      </c>
      <c r="E26" s="20" t="str">
        <f aca="false">IF(AND((5*7+3-WEEKDAY(DATE($V$1,5,1),2)+1)&gt;=1,(5*7+3-WEEKDAY(DATE($V$1,5,1),2)+1)&lt;=DAY(EOMONTH(DATE($V$1,5,1),0))),(5*7+3-WEEKDAY(DATE($V$1,5,1),2)+1),"")</f>
        <v/>
      </c>
      <c r="F26" s="20" t="str">
        <f aca="false">IF(AND((5*7+4-WEEKDAY(DATE($V$1,5,1),2)+1)&gt;=1,(5*7+4-WEEKDAY(DATE($V$1,5,1),2)+1)&lt;=DAY(EOMONTH(DATE($V$1,5,1),0))),(5*7+4-WEEKDAY(DATE($V$1,5,1),2)+1),"")</f>
        <v/>
      </c>
      <c r="G26" s="20" t="str">
        <f aca="false">IF(AND((5*7+5-WEEKDAY(DATE($V$1,5,1),2)+1)&gt;=1,(5*7+5-WEEKDAY(DATE($V$1,5,1),2)+1)&lt;=DAY(EOMONTH(DATE($V$1,5,1),0))),(5*7+5-WEEKDAY(DATE($V$1,5,1),2)+1),"")</f>
        <v/>
      </c>
      <c r="H26" s="21" t="str">
        <f aca="false">IF(AND((5*7+6-WEEKDAY(DATE($V$1,5,1),2)+1)&gt;=1,(5*7+6-WEEKDAY(DATE($V$1,5,1),2)+1)&lt;=DAY(EOMONTH(DATE($V$1,5,1),0))),(5*7+6-WEEKDAY(DATE($V$1,5,1),2)+1),"")</f>
        <v/>
      </c>
      <c r="I26" s="22" t="str">
        <f aca="false">IF(AND((5*7+7-WEEKDAY(DATE($V$1,5,1),2)+1)&gt;=1,(5*7+7-WEEKDAY(DATE($V$1,5,1),2)+1)&lt;=DAY(EOMONTH(DATE($V$1,5,1),0))),(5*7+7-WEEKDAY(DATE($V$1,5,1),2)+1),"")</f>
        <v/>
      </c>
      <c r="K26" s="19" t="str">
        <f aca="false">IF(AND((5*7+7-WEEKDAY(DATE($V$1,6,1),2)+1)&gt;=1,(5*7+1-WEEKDAY(DATE($V$1,6,1),2)+1)&lt;=DAY(EOMONTH(DATE($V$1,6,1),0))),INT(((DATE($V$1,6,1)-WEEKDAY(DATE($V$1,6,1),2)+1+5*7)-DATE(YEAR((DATE($V$1,6,1)-WEEKDAY(DATE($V$1,6,1),2)+1+5*7)-WEEKDAY((DATE($V$1,6,1)-WEEKDAY(DATE($V$1,6,1),2)+1+5*7)-1)+4),1,3)+WEEKDAY(DATE(YEAR((DATE($V$1,6,1)-WEEKDAY(DATE($V$1,6,1),2)+1+5*7)-WEEKDAY((DATE($V$1,6,1)-WEEKDAY(DATE($V$1,6,1),2)+1+5*7)-1)+4),1,3))+5)/7),"")</f>
        <v/>
      </c>
      <c r="L26" s="20" t="str">
        <f aca="false">IF(AND((5*7+1-WEEKDAY(DATE($V$1,6,1),2)+1)&gt;=1,(5*7+1-WEEKDAY(DATE($V$1,6,1),2)+1)&lt;=DAY(EOMONTH(DATE($V$1,6,1),0))),(5*7+1-WEEKDAY(DATE($V$1,6,1),2)+1),"")</f>
        <v/>
      </c>
      <c r="M26" s="20" t="str">
        <f aca="false">IF(AND((5*7+2-WEEKDAY(DATE($V$1,6,1),2)+1)&gt;=1,(5*7+2-WEEKDAY(DATE($V$1,6,1),2)+1)&lt;=DAY(EOMONTH(DATE($V$1,6,1),0))),(5*7+2-WEEKDAY(DATE($V$1,6,1),2)+1),"")</f>
        <v/>
      </c>
      <c r="N26" s="20" t="str">
        <f aca="false">IF(AND((5*7+3-WEEKDAY(DATE($V$1,6,1),2)+1)&gt;=1,(5*7+3-WEEKDAY(DATE($V$1,6,1),2)+1)&lt;=DAY(EOMONTH(DATE($V$1,6,1),0))),(5*7+3-WEEKDAY(DATE($V$1,6,1),2)+1),"")</f>
        <v/>
      </c>
      <c r="O26" s="20" t="str">
        <f aca="false">IF(AND((5*7+4-WEEKDAY(DATE($V$1,6,1),2)+1)&gt;=1,(5*7+4-WEEKDAY(DATE($V$1,6,1),2)+1)&lt;=DAY(EOMONTH(DATE($V$1,6,1),0))),(5*7+4-WEEKDAY(DATE($V$1,6,1),2)+1),"")</f>
        <v/>
      </c>
      <c r="P26" s="20" t="str">
        <f aca="false">IF(AND((5*7+5-WEEKDAY(DATE($V$1,6,1),2)+1)&gt;=1,(5*7+5-WEEKDAY(DATE($V$1,6,1),2)+1)&lt;=DAY(EOMONTH(DATE($V$1,6,1),0))),(5*7+5-WEEKDAY(DATE($V$1,6,1),2)+1),"")</f>
        <v/>
      </c>
      <c r="Q26" s="21" t="str">
        <f aca="false">IF(AND((5*7+6-WEEKDAY(DATE($V$1,6,1),2)+1)&gt;=1,(5*7+6-WEEKDAY(DATE($V$1,6,1),2)+1)&lt;=DAY(EOMONTH(DATE($V$1,6,1),0))),(5*7+6-WEEKDAY(DATE($V$1,6,1),2)+1),"")</f>
        <v/>
      </c>
      <c r="R26" s="22" t="str">
        <f aca="false">IF(AND((5*7+7-WEEKDAY(DATE($V$1,6,1),2)+1)&gt;=1,(5*7+7-WEEKDAY(DATE($V$1,6,1),2)+1)&lt;=DAY(EOMONTH(DATE($V$1,6,1),0))),(5*7+7-WEEKDAY(DATE($V$1,6,1),2)+1),"")</f>
        <v/>
      </c>
      <c r="T26" s="19" t="str">
        <f aca="false">IF(AND((5*7+7-WEEKDAY(DATE($V$1,7,1),2)+1)&gt;=1,(5*7+1-WEEKDAY(DATE($V$1,7,1),2)+1)&lt;=DAY(EOMONTH(DATE($V$1,7,1),0))),INT(((DATE($V$1,7,1)-WEEKDAY(DATE($V$1,7,1),2)+1+5*7)-DATE(YEAR((DATE($V$1,7,1)-WEEKDAY(DATE($V$1,7,1),2)+1+5*7)-WEEKDAY((DATE($V$1,7,1)-WEEKDAY(DATE($V$1,7,1),2)+1+5*7)-1)+4),1,3)+WEEKDAY(DATE(YEAR((DATE($V$1,7,1)-WEEKDAY(DATE($V$1,7,1),2)+1+5*7)-WEEKDAY((DATE($V$1,7,1)-WEEKDAY(DATE($V$1,7,1),2)+1+5*7)-1)+4),1,3))+5)/7),"")</f>
        <v/>
      </c>
      <c r="U26" s="20" t="str">
        <f aca="false">IF(AND((5*7+1-WEEKDAY(DATE($V$1,7,1),2)+1)&gt;=1,(5*7+1-WEEKDAY(DATE($V$1,7,1),2)+1)&lt;=DAY(EOMONTH(DATE($V$1,7,1),0))),(5*7+1-WEEKDAY(DATE($V$1,7,1),2)+1),"")</f>
        <v/>
      </c>
      <c r="V26" s="20" t="str">
        <f aca="false">IF(AND((5*7+2-WEEKDAY(DATE($V$1,7,1),2)+1)&gt;=1,(5*7+2-WEEKDAY(DATE($V$1,7,1),2)+1)&lt;=DAY(EOMONTH(DATE($V$1,7,1),0))),(5*7+2-WEEKDAY(DATE($V$1,7,1),2)+1),"")</f>
        <v/>
      </c>
      <c r="W26" s="20" t="str">
        <f aca="false">IF(AND((5*7+3-WEEKDAY(DATE($V$1,7,1),2)+1)&gt;=1,(5*7+3-WEEKDAY(DATE($V$1,7,1),2)+1)&lt;=DAY(EOMONTH(DATE($V$1,7,1),0))),(5*7+3-WEEKDAY(DATE($V$1,7,1),2)+1),"")</f>
        <v/>
      </c>
      <c r="X26" s="20" t="str">
        <f aca="false">IF(AND((5*7+4-WEEKDAY(DATE($V$1,7,1),2)+1)&gt;=1,(5*7+4-WEEKDAY(DATE($V$1,7,1),2)+1)&lt;=DAY(EOMONTH(DATE($V$1,7,1),0))),(5*7+4-WEEKDAY(DATE($V$1,7,1),2)+1),"")</f>
        <v/>
      </c>
      <c r="Y26" s="20" t="str">
        <f aca="false">IF(AND((5*7+5-WEEKDAY(DATE($V$1,7,1),2)+1)&gt;=1,(5*7+5-WEEKDAY(DATE($V$1,7,1),2)+1)&lt;=DAY(EOMONTH(DATE($V$1,7,1),0))),(5*7+5-WEEKDAY(DATE($V$1,7,1),2)+1),"")</f>
        <v/>
      </c>
      <c r="Z26" s="21" t="str">
        <f aca="false">IF(AND((5*7+6-WEEKDAY(DATE($V$1,7,1),2)+1)&gt;=1,(5*7+6-WEEKDAY(DATE($V$1,7,1),2)+1)&lt;=DAY(EOMONTH(DATE($V$1,7,1),0))),(5*7+6-WEEKDAY(DATE($V$1,7,1),2)+1),"")</f>
        <v/>
      </c>
      <c r="AA26" s="22" t="str">
        <f aca="false">IF(AND((5*7+7-WEEKDAY(DATE($V$1,7,1),2)+1)&gt;=1,(5*7+7-WEEKDAY(DATE($V$1,7,1),2)+1)&lt;=DAY(EOMONTH(DATE($V$1,7,1),0))),(5*7+7-WEEKDAY(DATE($V$1,7,1),2)+1),"")</f>
        <v/>
      </c>
      <c r="AC26" s="19" t="n">
        <f aca="false">IF(AND((5*7+7-WEEKDAY(DATE($V$1,8,1),2)+1)&gt;=1,(5*7+1-WEEKDAY(DATE($V$1,8,1),2)+1)&lt;=DAY(EOMONTH(DATE($V$1,8,1),0))),INT(((DATE($V$1,8,1)-WEEKDAY(DATE($V$1,8,1),2)+1+5*7)-DATE(YEAR((DATE($V$1,8,1)-WEEKDAY(DATE($V$1,8,1),2)+1+5*7)-WEEKDAY((DATE($V$1,8,1)-WEEKDAY(DATE($V$1,8,1),2)+1+5*7)-1)+4),1,3)+WEEKDAY(DATE(YEAR((DATE($V$1,8,1)-WEEKDAY(DATE($V$1,8,1),2)+1+5*7)-WEEKDAY((DATE($V$1,8,1)-WEEKDAY(DATE($V$1,8,1),2)+1+5*7)-1)+4),1,3))+5)/7),"")</f>
        <v>35</v>
      </c>
      <c r="AD26" s="20" t="n">
        <f aca="false">IF(AND((5*7+1-WEEKDAY(DATE($V$1,8,1),2)+1)&gt;=1,(5*7+1-WEEKDAY(DATE($V$1,8,1),2)+1)&lt;=DAY(EOMONTH(DATE($V$1,8,1),0))),(5*7+1-WEEKDAY(DATE($V$1,8,1),2)+1),"")</f>
        <v>30</v>
      </c>
      <c r="AE26" s="20" t="n">
        <f aca="false">IF(AND((5*7+2-WEEKDAY(DATE($V$1,8,1),2)+1)&gt;=1,(5*7+2-WEEKDAY(DATE($V$1,8,1),2)+1)&lt;=DAY(EOMONTH(DATE($V$1,8,1),0))),(5*7+2-WEEKDAY(DATE($V$1,8,1),2)+1),"")</f>
        <v>31</v>
      </c>
      <c r="AF26" s="20" t="str">
        <f aca="false">IF(AND((5*7+3-WEEKDAY(DATE($V$1,8,1),2)+1)&gt;=1,(5*7+3-WEEKDAY(DATE($V$1,8,1),2)+1)&lt;=DAY(EOMONTH(DATE($V$1,8,1),0))),(5*7+3-WEEKDAY(DATE($V$1,8,1),2)+1),"")</f>
        <v/>
      </c>
      <c r="AG26" s="20" t="str">
        <f aca="false">IF(AND((5*7+4-WEEKDAY(DATE($V$1,8,1),2)+1)&gt;=1,(5*7+4-WEEKDAY(DATE($V$1,8,1),2)+1)&lt;=DAY(EOMONTH(DATE($V$1,8,1),0))),(5*7+4-WEEKDAY(DATE($V$1,8,1),2)+1),"")</f>
        <v/>
      </c>
      <c r="AH26" s="20" t="str">
        <f aca="false">IF(AND((5*7+5-WEEKDAY(DATE($V$1,8,1),2)+1)&gt;=1,(5*7+5-WEEKDAY(DATE($V$1,8,1),2)+1)&lt;=DAY(EOMONTH(DATE($V$1,8,1),0))),(5*7+5-WEEKDAY(DATE($V$1,8,1),2)+1),"")</f>
        <v/>
      </c>
      <c r="AI26" s="21" t="str">
        <f aca="false">IF(AND((5*7+6-WEEKDAY(DATE($V$1,8,1),2)+1)&gt;=1,(5*7+6-WEEKDAY(DATE($V$1,8,1),2)+1)&lt;=DAY(EOMONTH(DATE($V$1,8,1),0))),(5*7+6-WEEKDAY(DATE($V$1,8,1),2)+1),"")</f>
        <v/>
      </c>
      <c r="AJ26" s="22" t="str">
        <f aca="false">IF(AND((5*7+7-WEEKDAY(DATE($V$1,8,1),2)+1)&gt;=1,(5*7+7-WEEKDAY(DATE($V$1,8,1),2)+1)&lt;=DAY(EOMONTH(DATE($V$1,8,1),0))),(5*7+7-WEEKDAY(DATE($V$1,8,1),2)+1),"")</f>
        <v/>
      </c>
    </row>
    <row r="28" customFormat="false" ht="18" hidden="false" customHeight="true" outlineLevel="0" collapsed="false">
      <c r="B28" s="14" t="s">
        <v>28</v>
      </c>
      <c r="C28" s="14"/>
      <c r="D28" s="14"/>
      <c r="E28" s="14"/>
      <c r="F28" s="14"/>
      <c r="G28" s="14"/>
      <c r="H28" s="14"/>
      <c r="I28" s="14"/>
      <c r="K28" s="14" t="s">
        <v>29</v>
      </c>
      <c r="L28" s="14"/>
      <c r="M28" s="14"/>
      <c r="N28" s="14"/>
      <c r="O28" s="14"/>
      <c r="P28" s="14"/>
      <c r="Q28" s="14"/>
      <c r="R28" s="14"/>
      <c r="T28" s="14" t="s">
        <v>30</v>
      </c>
      <c r="U28" s="14"/>
      <c r="V28" s="14"/>
      <c r="W28" s="14"/>
      <c r="X28" s="14"/>
      <c r="Y28" s="14"/>
      <c r="Z28" s="14"/>
      <c r="AA28" s="14"/>
      <c r="AC28" s="14" t="s">
        <v>31</v>
      </c>
      <c r="AD28" s="14"/>
      <c r="AE28" s="14"/>
      <c r="AF28" s="14"/>
      <c r="AG28" s="14"/>
      <c r="AH28" s="14"/>
      <c r="AI28" s="14"/>
      <c r="AJ28" s="14"/>
    </row>
    <row r="29" customFormat="false" ht="15" hidden="false" customHeight="true" outlineLevel="0" collapsed="false">
      <c r="B29" s="15" t="s">
        <v>16</v>
      </c>
      <c r="C29" s="16" t="s">
        <v>17</v>
      </c>
      <c r="D29" s="16" t="s">
        <v>18</v>
      </c>
      <c r="E29" s="16" t="s">
        <v>19</v>
      </c>
      <c r="F29" s="16" t="s">
        <v>20</v>
      </c>
      <c r="G29" s="16" t="s">
        <v>21</v>
      </c>
      <c r="H29" s="17" t="s">
        <v>22</v>
      </c>
      <c r="I29" s="18" t="s">
        <v>23</v>
      </c>
      <c r="K29" s="15" t="s">
        <v>16</v>
      </c>
      <c r="L29" s="16" t="s">
        <v>17</v>
      </c>
      <c r="M29" s="16" t="s">
        <v>18</v>
      </c>
      <c r="N29" s="16" t="s">
        <v>19</v>
      </c>
      <c r="O29" s="16" t="s">
        <v>20</v>
      </c>
      <c r="P29" s="16" t="s">
        <v>21</v>
      </c>
      <c r="Q29" s="17" t="s">
        <v>22</v>
      </c>
      <c r="R29" s="18" t="s">
        <v>23</v>
      </c>
      <c r="T29" s="15" t="s">
        <v>16</v>
      </c>
      <c r="U29" s="16" t="s">
        <v>17</v>
      </c>
      <c r="V29" s="16" t="s">
        <v>18</v>
      </c>
      <c r="W29" s="16" t="s">
        <v>19</v>
      </c>
      <c r="X29" s="16" t="s">
        <v>20</v>
      </c>
      <c r="Y29" s="16" t="s">
        <v>21</v>
      </c>
      <c r="Z29" s="17" t="s">
        <v>22</v>
      </c>
      <c r="AA29" s="18" t="s">
        <v>23</v>
      </c>
      <c r="AC29" s="15" t="s">
        <v>16</v>
      </c>
      <c r="AD29" s="16" t="s">
        <v>17</v>
      </c>
      <c r="AE29" s="16" t="s">
        <v>18</v>
      </c>
      <c r="AF29" s="16" t="s">
        <v>19</v>
      </c>
      <c r="AG29" s="16" t="s">
        <v>20</v>
      </c>
      <c r="AH29" s="16" t="s">
        <v>21</v>
      </c>
      <c r="AI29" s="17" t="s">
        <v>22</v>
      </c>
      <c r="AJ29" s="18" t="s">
        <v>23</v>
      </c>
    </row>
    <row r="30" customFormat="false" ht="15" hidden="false" customHeight="true" outlineLevel="0" collapsed="false">
      <c r="B30" s="19" t="n">
        <f aca="false">IF(AND((0*7+7-WEEKDAY(DATE($V$1,9,1),2)+1)&gt;=1,(0*7+1-WEEKDAY(DATE($V$1,9,1),2)+1)&lt;=DAY(EOMONTH(DATE($V$1,9,1),0))),INT(((DATE($V$1,9,1)-WEEKDAY(DATE($V$1,9,1),2)+1+0*7)-DATE(YEAR((DATE($V$1,9,1)-WEEKDAY(DATE($V$1,9,1),2)+1+0*7)-WEEKDAY((DATE($V$1,9,1)-WEEKDAY(DATE($V$1,9,1),2)+1+0*7)-1)+4),1,3)+WEEKDAY(DATE(YEAR((DATE($V$1,9,1)-WEEKDAY(DATE($V$1,9,1),2)+1+0*7)-WEEKDAY((DATE($V$1,9,1)-WEEKDAY(DATE($V$1,9,1),2)+1+0*7)-1)+4),1,3))+5)/7),"")</f>
        <v>35</v>
      </c>
      <c r="C30" s="20" t="str">
        <f aca="false">IF(AND((0*7+1-WEEKDAY(DATE($V$1,9,1),2)+1)&gt;=1,(0*7+1-WEEKDAY(DATE($V$1,9,1),2)+1)&lt;=DAY(EOMONTH(DATE($V$1,9,1),0))),(0*7+1-WEEKDAY(DATE($V$1,9,1),2)+1),"")</f>
        <v/>
      </c>
      <c r="D30" s="20" t="str">
        <f aca="false">IF(AND((0*7+2-WEEKDAY(DATE($V$1,9,1),2)+1)&gt;=1,(0*7+2-WEEKDAY(DATE($V$1,9,1),2)+1)&lt;=DAY(EOMONTH(DATE($V$1,9,1),0))),(0*7+2-WEEKDAY(DATE($V$1,9,1),2)+1),"")</f>
        <v/>
      </c>
      <c r="E30" s="20" t="n">
        <f aca="false">IF(AND((0*7+3-WEEKDAY(DATE($V$1,9,1),2)+1)&gt;=1,(0*7+3-WEEKDAY(DATE($V$1,9,1),2)+1)&lt;=DAY(EOMONTH(DATE($V$1,9,1),0))),(0*7+3-WEEKDAY(DATE($V$1,9,1),2)+1),"")</f>
        <v>1</v>
      </c>
      <c r="F30" s="20" t="n">
        <f aca="false">IF(AND((0*7+4-WEEKDAY(DATE($V$1,9,1),2)+1)&gt;=1,(0*7+4-WEEKDAY(DATE($V$1,9,1),2)+1)&lt;=DAY(EOMONTH(DATE($V$1,9,1),0))),(0*7+4-WEEKDAY(DATE($V$1,9,1),2)+1),"")</f>
        <v>2</v>
      </c>
      <c r="G30" s="20" t="n">
        <f aca="false">IF(AND((0*7+5-WEEKDAY(DATE($V$1,9,1),2)+1)&gt;=1,(0*7+5-WEEKDAY(DATE($V$1,9,1),2)+1)&lt;=DAY(EOMONTH(DATE($V$1,9,1),0))),(0*7+5-WEEKDAY(DATE($V$1,9,1),2)+1),"")</f>
        <v>3</v>
      </c>
      <c r="H30" s="21" t="n">
        <f aca="false">IF(AND((0*7+6-WEEKDAY(DATE($V$1,9,1),2)+1)&gt;=1,(0*7+6-WEEKDAY(DATE($V$1,9,1),2)+1)&lt;=DAY(EOMONTH(DATE($V$1,9,1),0))),(0*7+6-WEEKDAY(DATE($V$1,9,1),2)+1),"")</f>
        <v>4</v>
      </c>
      <c r="I30" s="22" t="n">
        <f aca="false">IF(AND((0*7+7-WEEKDAY(DATE($V$1,9,1),2)+1)&gt;=1,(0*7+7-WEEKDAY(DATE($V$1,9,1),2)+1)&lt;=DAY(EOMONTH(DATE($V$1,9,1),0))),(0*7+7-WEEKDAY(DATE($V$1,9,1),2)+1),"")</f>
        <v>5</v>
      </c>
      <c r="K30" s="19" t="n">
        <f aca="false">IF(AND((0*7+7-WEEKDAY(DATE($V$1,10,1),2)+1)&gt;=1,(0*7+1-WEEKDAY(DATE($V$1,10,1),2)+1)&lt;=DAY(EOMONTH(DATE($V$1,10,1),0))),INT(((DATE($V$1,10,1)-WEEKDAY(DATE($V$1,10,1),2)+1+0*7)-DATE(YEAR((DATE($V$1,10,1)-WEEKDAY(DATE($V$1,10,1),2)+1+0*7)-WEEKDAY((DATE($V$1,10,1)-WEEKDAY(DATE($V$1,10,1),2)+1+0*7)-1)+4),1,3)+WEEKDAY(DATE(YEAR((DATE($V$1,10,1)-WEEKDAY(DATE($V$1,10,1),2)+1+0*7)-WEEKDAY((DATE($V$1,10,1)-WEEKDAY(DATE($V$1,10,1),2)+1+0*7)-1)+4),1,3))+5)/7),"")</f>
        <v>39</v>
      </c>
      <c r="L30" s="20" t="str">
        <f aca="false">IF(AND((0*7+1-WEEKDAY(DATE($V$1,10,1),2)+1)&gt;=1,(0*7+1-WEEKDAY(DATE($V$1,10,1),2)+1)&lt;=DAY(EOMONTH(DATE($V$1,10,1),0))),(0*7+1-WEEKDAY(DATE($V$1,10,1),2)+1),"")</f>
        <v/>
      </c>
      <c r="M30" s="20" t="str">
        <f aca="false">IF(AND((0*7+2-WEEKDAY(DATE($V$1,10,1),2)+1)&gt;=1,(0*7+2-WEEKDAY(DATE($V$1,10,1),2)+1)&lt;=DAY(EOMONTH(DATE($V$1,10,1),0))),(0*7+2-WEEKDAY(DATE($V$1,10,1),2)+1),"")</f>
        <v/>
      </c>
      <c r="N30" s="20" t="str">
        <f aca="false">IF(AND((0*7+3-WEEKDAY(DATE($V$1,10,1),2)+1)&gt;=1,(0*7+3-WEEKDAY(DATE($V$1,10,1),2)+1)&lt;=DAY(EOMONTH(DATE($V$1,10,1),0))),(0*7+3-WEEKDAY(DATE($V$1,10,1),2)+1),"")</f>
        <v/>
      </c>
      <c r="O30" s="20" t="str">
        <f aca="false">IF(AND((0*7+4-WEEKDAY(DATE($V$1,10,1),2)+1)&gt;=1,(0*7+4-WEEKDAY(DATE($V$1,10,1),2)+1)&lt;=DAY(EOMONTH(DATE($V$1,10,1),0))),(0*7+4-WEEKDAY(DATE($V$1,10,1),2)+1),"")</f>
        <v/>
      </c>
      <c r="P30" s="20" t="n">
        <f aca="false">IF(AND((0*7+5-WEEKDAY(DATE($V$1,10,1),2)+1)&gt;=1,(0*7+5-WEEKDAY(DATE($V$1,10,1),2)+1)&lt;=DAY(EOMONTH(DATE($V$1,10,1),0))),(0*7+5-WEEKDAY(DATE($V$1,10,1),2)+1),"")</f>
        <v>1</v>
      </c>
      <c r="Q30" s="21" t="n">
        <f aca="false">IF(AND((0*7+6-WEEKDAY(DATE($V$1,10,1),2)+1)&gt;=1,(0*7+6-WEEKDAY(DATE($V$1,10,1),2)+1)&lt;=DAY(EOMONTH(DATE($V$1,10,1),0))),(0*7+6-WEEKDAY(DATE($V$1,10,1),2)+1),"")</f>
        <v>2</v>
      </c>
      <c r="R30" s="22" t="n">
        <f aca="false">IF(AND((0*7+7-WEEKDAY(DATE($V$1,10,1),2)+1)&gt;=1,(0*7+7-WEEKDAY(DATE($V$1,10,1),2)+1)&lt;=DAY(EOMONTH(DATE($V$1,10,1),0))),(0*7+7-WEEKDAY(DATE($V$1,10,1),2)+1),"")</f>
        <v>3</v>
      </c>
      <c r="T30" s="19" t="n">
        <f aca="false">IF(AND((0*7+7-WEEKDAY(DATE($V$1,11,1),2)+1)&gt;=1,(0*7+1-WEEKDAY(DATE($V$1,11,1),2)+1)&lt;=DAY(EOMONTH(DATE($V$1,11,1),0))),INT(((DATE($V$1,11,1)-WEEKDAY(DATE($V$1,11,1),2)+1+0*7)-DATE(YEAR((DATE($V$1,11,1)-WEEKDAY(DATE($V$1,11,1),2)+1+0*7)-WEEKDAY((DATE($V$1,11,1)-WEEKDAY(DATE($V$1,11,1),2)+1+0*7)-1)+4),1,3)+WEEKDAY(DATE(YEAR((DATE($V$1,11,1)-WEEKDAY(DATE($V$1,11,1),2)+1+0*7)-WEEKDAY((DATE($V$1,11,1)-WEEKDAY(DATE($V$1,11,1),2)+1+0*7)-1)+4),1,3))+5)/7),"")</f>
        <v>44</v>
      </c>
      <c r="U30" s="20" t="n">
        <f aca="false">IF(AND((0*7+1-WEEKDAY(DATE($V$1,11,1),2)+1)&gt;=1,(0*7+1-WEEKDAY(DATE($V$1,11,1),2)+1)&lt;=DAY(EOMONTH(DATE($V$1,11,1),0))),(0*7+1-WEEKDAY(DATE($V$1,11,1),2)+1),"")</f>
        <v>1</v>
      </c>
      <c r="V30" s="20" t="n">
        <f aca="false">IF(AND((0*7+2-WEEKDAY(DATE($V$1,11,1),2)+1)&gt;=1,(0*7+2-WEEKDAY(DATE($V$1,11,1),2)+1)&lt;=DAY(EOMONTH(DATE($V$1,11,1),0))),(0*7+2-WEEKDAY(DATE($V$1,11,1),2)+1),"")</f>
        <v>2</v>
      </c>
      <c r="W30" s="20" t="n">
        <f aca="false">IF(AND((0*7+3-WEEKDAY(DATE($V$1,11,1),2)+1)&gt;=1,(0*7+3-WEEKDAY(DATE($V$1,11,1),2)+1)&lt;=DAY(EOMONTH(DATE($V$1,11,1),0))),(0*7+3-WEEKDAY(DATE($V$1,11,1),2)+1),"")</f>
        <v>3</v>
      </c>
      <c r="X30" s="20" t="n">
        <f aca="false">IF(AND((0*7+4-WEEKDAY(DATE($V$1,11,1),2)+1)&gt;=1,(0*7+4-WEEKDAY(DATE($V$1,11,1),2)+1)&lt;=DAY(EOMONTH(DATE($V$1,11,1),0))),(0*7+4-WEEKDAY(DATE($V$1,11,1),2)+1),"")</f>
        <v>4</v>
      </c>
      <c r="Y30" s="20" t="n">
        <f aca="false">IF(AND((0*7+5-WEEKDAY(DATE($V$1,11,1),2)+1)&gt;=1,(0*7+5-WEEKDAY(DATE($V$1,11,1),2)+1)&lt;=DAY(EOMONTH(DATE($V$1,11,1),0))),(0*7+5-WEEKDAY(DATE($V$1,11,1),2)+1),"")</f>
        <v>5</v>
      </c>
      <c r="Z30" s="21" t="n">
        <f aca="false">IF(AND((0*7+6-WEEKDAY(DATE($V$1,11,1),2)+1)&gt;=1,(0*7+6-WEEKDAY(DATE($V$1,11,1),2)+1)&lt;=DAY(EOMONTH(DATE($V$1,11,1),0))),(0*7+6-WEEKDAY(DATE($V$1,11,1),2)+1),"")</f>
        <v>6</v>
      </c>
      <c r="AA30" s="22" t="n">
        <f aca="false">IF(AND((0*7+7-WEEKDAY(DATE($V$1,11,1),2)+1)&gt;=1,(0*7+7-WEEKDAY(DATE($V$1,11,1),2)+1)&lt;=DAY(EOMONTH(DATE($V$1,11,1),0))),(0*7+7-WEEKDAY(DATE($V$1,11,1),2)+1),"")</f>
        <v>7</v>
      </c>
      <c r="AC30" s="19" t="n">
        <f aca="false">IF(AND((0*7+7-WEEKDAY(DATE($V$1,12,1),2)+1)&gt;=1,(0*7+1-WEEKDAY(DATE($V$1,12,1),2)+1)&lt;=DAY(EOMONTH(DATE($V$1,12,1),0))),INT(((DATE($V$1,12,1)-WEEKDAY(DATE($V$1,12,1),2)+1+0*7)-DATE(YEAR((DATE($V$1,12,1)-WEEKDAY(DATE($V$1,12,1),2)+1+0*7)-WEEKDAY((DATE($V$1,12,1)-WEEKDAY(DATE($V$1,12,1),2)+1+0*7)-1)+4),1,3)+WEEKDAY(DATE(YEAR((DATE($V$1,12,1)-WEEKDAY(DATE($V$1,12,1),2)+1+0*7)-WEEKDAY((DATE($V$1,12,1)-WEEKDAY(DATE($V$1,12,1),2)+1+0*7)-1)+4),1,3))+5)/7),"")</f>
        <v>48</v>
      </c>
      <c r="AD30" s="20" t="str">
        <f aca="false">IF(AND((0*7+1-WEEKDAY(DATE($V$1,12,1),2)+1)&gt;=1,(0*7+1-WEEKDAY(DATE($V$1,12,1),2)+1)&lt;=DAY(EOMONTH(DATE($V$1,12,1),0))),(0*7+1-WEEKDAY(DATE($V$1,12,1),2)+1),"")</f>
        <v/>
      </c>
      <c r="AE30" s="20" t="str">
        <f aca="false">IF(AND((0*7+2-WEEKDAY(DATE($V$1,12,1),2)+1)&gt;=1,(0*7+2-WEEKDAY(DATE($V$1,12,1),2)+1)&lt;=DAY(EOMONTH(DATE($V$1,12,1),0))),(0*7+2-WEEKDAY(DATE($V$1,12,1),2)+1),"")</f>
        <v/>
      </c>
      <c r="AF30" s="20" t="n">
        <f aca="false">IF(AND((0*7+3-WEEKDAY(DATE($V$1,12,1),2)+1)&gt;=1,(0*7+3-WEEKDAY(DATE($V$1,12,1),2)+1)&lt;=DAY(EOMONTH(DATE($V$1,12,1),0))),(0*7+3-WEEKDAY(DATE($V$1,12,1),2)+1),"")</f>
        <v>1</v>
      </c>
      <c r="AG30" s="20" t="n">
        <f aca="false">IF(AND((0*7+4-WEEKDAY(DATE($V$1,12,1),2)+1)&gt;=1,(0*7+4-WEEKDAY(DATE($V$1,12,1),2)+1)&lt;=DAY(EOMONTH(DATE($V$1,12,1),0))),(0*7+4-WEEKDAY(DATE($V$1,12,1),2)+1),"")</f>
        <v>2</v>
      </c>
      <c r="AH30" s="20" t="n">
        <f aca="false">IF(AND((0*7+5-WEEKDAY(DATE($V$1,12,1),2)+1)&gt;=1,(0*7+5-WEEKDAY(DATE($V$1,12,1),2)+1)&lt;=DAY(EOMONTH(DATE($V$1,12,1),0))),(0*7+5-WEEKDAY(DATE($V$1,12,1),2)+1),"")</f>
        <v>3</v>
      </c>
      <c r="AI30" s="21" t="n">
        <f aca="false">IF(AND((0*7+6-WEEKDAY(DATE($V$1,12,1),2)+1)&gt;=1,(0*7+6-WEEKDAY(DATE($V$1,12,1),2)+1)&lt;=DAY(EOMONTH(DATE($V$1,12,1),0))),(0*7+6-WEEKDAY(DATE($V$1,12,1),2)+1),"")</f>
        <v>4</v>
      </c>
      <c r="AJ30" s="22" t="n">
        <f aca="false">IF(AND((0*7+7-WEEKDAY(DATE($V$1,12,1),2)+1)&gt;=1,(0*7+7-WEEKDAY(DATE($V$1,12,1),2)+1)&lt;=DAY(EOMONTH(DATE($V$1,12,1),0))),(0*7+7-WEEKDAY(DATE($V$1,12,1),2)+1),"")</f>
        <v>5</v>
      </c>
    </row>
    <row r="31" customFormat="false" ht="15" hidden="false" customHeight="true" outlineLevel="0" collapsed="false">
      <c r="B31" s="19" t="n">
        <f aca="false">IF(AND((1*7+7-WEEKDAY(DATE($V$1,9,1),2)+1)&gt;=1,(1*7+1-WEEKDAY(DATE($V$1,9,1),2)+1)&lt;=DAY(EOMONTH(DATE($V$1,9,1),0))),INT(((DATE($V$1,9,1)-WEEKDAY(DATE($V$1,9,1),2)+1+1*7)-DATE(YEAR((DATE($V$1,9,1)-WEEKDAY(DATE($V$1,9,1),2)+1+1*7)-WEEKDAY((DATE($V$1,9,1)-WEEKDAY(DATE($V$1,9,1),2)+1+1*7)-1)+4),1,3)+WEEKDAY(DATE(YEAR((DATE($V$1,9,1)-WEEKDAY(DATE($V$1,9,1),2)+1+1*7)-WEEKDAY((DATE($V$1,9,1)-WEEKDAY(DATE($V$1,9,1),2)+1+1*7)-1)+4),1,3))+5)/7),"")</f>
        <v>36</v>
      </c>
      <c r="C31" s="20" t="n">
        <f aca="false">IF(AND((1*7+1-WEEKDAY(DATE($V$1,9,1),2)+1)&gt;=1,(1*7+1-WEEKDAY(DATE($V$1,9,1),2)+1)&lt;=DAY(EOMONTH(DATE($V$1,9,1),0))),(1*7+1-WEEKDAY(DATE($V$1,9,1),2)+1),"")</f>
        <v>6</v>
      </c>
      <c r="D31" s="20" t="n">
        <f aca="false">IF(AND((1*7+2-WEEKDAY(DATE($V$1,9,1),2)+1)&gt;=1,(1*7+2-WEEKDAY(DATE($V$1,9,1),2)+1)&lt;=DAY(EOMONTH(DATE($V$1,9,1),0))),(1*7+2-WEEKDAY(DATE($V$1,9,1),2)+1),"")</f>
        <v>7</v>
      </c>
      <c r="E31" s="20" t="n">
        <f aca="false">IF(AND((1*7+3-WEEKDAY(DATE($V$1,9,1),2)+1)&gt;=1,(1*7+3-WEEKDAY(DATE($V$1,9,1),2)+1)&lt;=DAY(EOMONTH(DATE($V$1,9,1),0))),(1*7+3-WEEKDAY(DATE($V$1,9,1),2)+1),"")</f>
        <v>8</v>
      </c>
      <c r="F31" s="20" t="n">
        <f aca="false">IF(AND((1*7+4-WEEKDAY(DATE($V$1,9,1),2)+1)&gt;=1,(1*7+4-WEEKDAY(DATE($V$1,9,1),2)+1)&lt;=DAY(EOMONTH(DATE($V$1,9,1),0))),(1*7+4-WEEKDAY(DATE($V$1,9,1),2)+1),"")</f>
        <v>9</v>
      </c>
      <c r="G31" s="20" t="n">
        <f aca="false">IF(AND((1*7+5-WEEKDAY(DATE($V$1,9,1),2)+1)&gt;=1,(1*7+5-WEEKDAY(DATE($V$1,9,1),2)+1)&lt;=DAY(EOMONTH(DATE($V$1,9,1),0))),(1*7+5-WEEKDAY(DATE($V$1,9,1),2)+1),"")</f>
        <v>10</v>
      </c>
      <c r="H31" s="21" t="n">
        <f aca="false">IF(AND((1*7+6-WEEKDAY(DATE($V$1,9,1),2)+1)&gt;=1,(1*7+6-WEEKDAY(DATE($V$1,9,1),2)+1)&lt;=DAY(EOMONTH(DATE($V$1,9,1),0))),(1*7+6-WEEKDAY(DATE($V$1,9,1),2)+1),"")</f>
        <v>11</v>
      </c>
      <c r="I31" s="22" t="n">
        <f aca="false">IF(AND((1*7+7-WEEKDAY(DATE($V$1,9,1),2)+1)&gt;=1,(1*7+7-WEEKDAY(DATE($V$1,9,1),2)+1)&lt;=DAY(EOMONTH(DATE($V$1,9,1),0))),(1*7+7-WEEKDAY(DATE($V$1,9,1),2)+1),"")</f>
        <v>12</v>
      </c>
      <c r="K31" s="19" t="n">
        <f aca="false">IF(AND((1*7+7-WEEKDAY(DATE($V$1,10,1),2)+1)&gt;=1,(1*7+1-WEEKDAY(DATE($V$1,10,1),2)+1)&lt;=DAY(EOMONTH(DATE($V$1,10,1),0))),INT(((DATE($V$1,10,1)-WEEKDAY(DATE($V$1,10,1),2)+1+1*7)-DATE(YEAR((DATE($V$1,10,1)-WEEKDAY(DATE($V$1,10,1),2)+1+1*7)-WEEKDAY((DATE($V$1,10,1)-WEEKDAY(DATE($V$1,10,1),2)+1+1*7)-1)+4),1,3)+WEEKDAY(DATE(YEAR((DATE($V$1,10,1)-WEEKDAY(DATE($V$1,10,1),2)+1+1*7)-WEEKDAY((DATE($V$1,10,1)-WEEKDAY(DATE($V$1,10,1),2)+1+1*7)-1)+4),1,3))+5)/7),"")</f>
        <v>40</v>
      </c>
      <c r="L31" s="20" t="n">
        <f aca="false">IF(AND((1*7+1-WEEKDAY(DATE($V$1,10,1),2)+1)&gt;=1,(1*7+1-WEEKDAY(DATE($V$1,10,1),2)+1)&lt;=DAY(EOMONTH(DATE($V$1,10,1),0))),(1*7+1-WEEKDAY(DATE($V$1,10,1),2)+1),"")</f>
        <v>4</v>
      </c>
      <c r="M31" s="20" t="n">
        <f aca="false">IF(AND((1*7+2-WEEKDAY(DATE($V$1,10,1),2)+1)&gt;=1,(1*7+2-WEEKDAY(DATE($V$1,10,1),2)+1)&lt;=DAY(EOMONTH(DATE($V$1,10,1),0))),(1*7+2-WEEKDAY(DATE($V$1,10,1),2)+1),"")</f>
        <v>5</v>
      </c>
      <c r="N31" s="20" t="n">
        <f aca="false">IF(AND((1*7+3-WEEKDAY(DATE($V$1,10,1),2)+1)&gt;=1,(1*7+3-WEEKDAY(DATE($V$1,10,1),2)+1)&lt;=DAY(EOMONTH(DATE($V$1,10,1),0))),(1*7+3-WEEKDAY(DATE($V$1,10,1),2)+1),"")</f>
        <v>6</v>
      </c>
      <c r="O31" s="20" t="n">
        <f aca="false">IF(AND((1*7+4-WEEKDAY(DATE($V$1,10,1),2)+1)&gt;=1,(1*7+4-WEEKDAY(DATE($V$1,10,1),2)+1)&lt;=DAY(EOMONTH(DATE($V$1,10,1),0))),(1*7+4-WEEKDAY(DATE($V$1,10,1),2)+1),"")</f>
        <v>7</v>
      </c>
      <c r="P31" s="20" t="n">
        <f aca="false">IF(AND((1*7+5-WEEKDAY(DATE($V$1,10,1),2)+1)&gt;=1,(1*7+5-WEEKDAY(DATE($V$1,10,1),2)+1)&lt;=DAY(EOMONTH(DATE($V$1,10,1),0))),(1*7+5-WEEKDAY(DATE($V$1,10,1),2)+1),"")</f>
        <v>8</v>
      </c>
      <c r="Q31" s="21" t="n">
        <f aca="false">IF(AND((1*7+6-WEEKDAY(DATE($V$1,10,1),2)+1)&gt;=1,(1*7+6-WEEKDAY(DATE($V$1,10,1),2)+1)&lt;=DAY(EOMONTH(DATE($V$1,10,1),0))),(1*7+6-WEEKDAY(DATE($V$1,10,1),2)+1),"")</f>
        <v>9</v>
      </c>
      <c r="R31" s="22" t="n">
        <f aca="false">IF(AND((1*7+7-WEEKDAY(DATE($V$1,10,1),2)+1)&gt;=1,(1*7+7-WEEKDAY(DATE($V$1,10,1),2)+1)&lt;=DAY(EOMONTH(DATE($V$1,10,1),0))),(1*7+7-WEEKDAY(DATE($V$1,10,1),2)+1),"")</f>
        <v>10</v>
      </c>
      <c r="T31" s="19" t="n">
        <f aca="false">IF(AND((1*7+7-WEEKDAY(DATE($V$1,11,1),2)+1)&gt;=1,(1*7+1-WEEKDAY(DATE($V$1,11,1),2)+1)&lt;=DAY(EOMONTH(DATE($V$1,11,1),0))),INT(((DATE($V$1,11,1)-WEEKDAY(DATE($V$1,11,1),2)+1+1*7)-DATE(YEAR((DATE($V$1,11,1)-WEEKDAY(DATE($V$1,11,1),2)+1+1*7)-WEEKDAY((DATE($V$1,11,1)-WEEKDAY(DATE($V$1,11,1),2)+1+1*7)-1)+4),1,3)+WEEKDAY(DATE(YEAR((DATE($V$1,11,1)-WEEKDAY(DATE($V$1,11,1),2)+1+1*7)-WEEKDAY((DATE($V$1,11,1)-WEEKDAY(DATE($V$1,11,1),2)+1+1*7)-1)+4),1,3))+5)/7),"")</f>
        <v>45</v>
      </c>
      <c r="U31" s="20" t="n">
        <f aca="false">IF(AND((1*7+1-WEEKDAY(DATE($V$1,11,1),2)+1)&gt;=1,(1*7+1-WEEKDAY(DATE($V$1,11,1),2)+1)&lt;=DAY(EOMONTH(DATE($V$1,11,1),0))),(1*7+1-WEEKDAY(DATE($V$1,11,1),2)+1),"")</f>
        <v>8</v>
      </c>
      <c r="V31" s="20" t="n">
        <f aca="false">IF(AND((1*7+2-WEEKDAY(DATE($V$1,11,1),2)+1)&gt;=1,(1*7+2-WEEKDAY(DATE($V$1,11,1),2)+1)&lt;=DAY(EOMONTH(DATE($V$1,11,1),0))),(1*7+2-WEEKDAY(DATE($V$1,11,1),2)+1),"")</f>
        <v>9</v>
      </c>
      <c r="W31" s="20" t="n">
        <f aca="false">IF(AND((1*7+3-WEEKDAY(DATE($V$1,11,1),2)+1)&gt;=1,(1*7+3-WEEKDAY(DATE($V$1,11,1),2)+1)&lt;=DAY(EOMONTH(DATE($V$1,11,1),0))),(1*7+3-WEEKDAY(DATE($V$1,11,1),2)+1),"")</f>
        <v>10</v>
      </c>
      <c r="X31" s="20" t="n">
        <f aca="false">IF(AND((1*7+4-WEEKDAY(DATE($V$1,11,1),2)+1)&gt;=1,(1*7+4-WEEKDAY(DATE($V$1,11,1),2)+1)&lt;=DAY(EOMONTH(DATE($V$1,11,1),0))),(1*7+4-WEEKDAY(DATE($V$1,11,1),2)+1),"")</f>
        <v>11</v>
      </c>
      <c r="Y31" s="20" t="n">
        <f aca="false">IF(AND((1*7+5-WEEKDAY(DATE($V$1,11,1),2)+1)&gt;=1,(1*7+5-WEEKDAY(DATE($V$1,11,1),2)+1)&lt;=DAY(EOMONTH(DATE($V$1,11,1),0))),(1*7+5-WEEKDAY(DATE($V$1,11,1),2)+1),"")</f>
        <v>12</v>
      </c>
      <c r="Z31" s="21" t="n">
        <f aca="false">IF(AND((1*7+6-WEEKDAY(DATE($V$1,11,1),2)+1)&gt;=1,(1*7+6-WEEKDAY(DATE($V$1,11,1),2)+1)&lt;=DAY(EOMONTH(DATE($V$1,11,1),0))),(1*7+6-WEEKDAY(DATE($V$1,11,1),2)+1),"")</f>
        <v>13</v>
      </c>
      <c r="AA31" s="22" t="n">
        <f aca="false">IF(AND((1*7+7-WEEKDAY(DATE($V$1,11,1),2)+1)&gt;=1,(1*7+7-WEEKDAY(DATE($V$1,11,1),2)+1)&lt;=DAY(EOMONTH(DATE($V$1,11,1),0))),(1*7+7-WEEKDAY(DATE($V$1,11,1),2)+1),"")</f>
        <v>14</v>
      </c>
      <c r="AC31" s="19" t="n">
        <f aca="false">IF(AND((1*7+7-WEEKDAY(DATE($V$1,12,1),2)+1)&gt;=1,(1*7+1-WEEKDAY(DATE($V$1,12,1),2)+1)&lt;=DAY(EOMONTH(DATE($V$1,12,1),0))),INT(((DATE($V$1,12,1)-WEEKDAY(DATE($V$1,12,1),2)+1+1*7)-DATE(YEAR((DATE($V$1,12,1)-WEEKDAY(DATE($V$1,12,1),2)+1+1*7)-WEEKDAY((DATE($V$1,12,1)-WEEKDAY(DATE($V$1,12,1),2)+1+1*7)-1)+4),1,3)+WEEKDAY(DATE(YEAR((DATE($V$1,12,1)-WEEKDAY(DATE($V$1,12,1),2)+1+1*7)-WEEKDAY((DATE($V$1,12,1)-WEEKDAY(DATE($V$1,12,1),2)+1+1*7)-1)+4),1,3))+5)/7),"")</f>
        <v>49</v>
      </c>
      <c r="AD31" s="20" t="n">
        <f aca="false">IF(AND((1*7+1-WEEKDAY(DATE($V$1,12,1),2)+1)&gt;=1,(1*7+1-WEEKDAY(DATE($V$1,12,1),2)+1)&lt;=DAY(EOMONTH(DATE($V$1,12,1),0))),(1*7+1-WEEKDAY(DATE($V$1,12,1),2)+1),"")</f>
        <v>6</v>
      </c>
      <c r="AE31" s="20" t="n">
        <f aca="false">IF(AND((1*7+2-WEEKDAY(DATE($V$1,12,1),2)+1)&gt;=1,(1*7+2-WEEKDAY(DATE($V$1,12,1),2)+1)&lt;=DAY(EOMONTH(DATE($V$1,12,1),0))),(1*7+2-WEEKDAY(DATE($V$1,12,1),2)+1),"")</f>
        <v>7</v>
      </c>
      <c r="AF31" s="20" t="n">
        <f aca="false">IF(AND((1*7+3-WEEKDAY(DATE($V$1,12,1),2)+1)&gt;=1,(1*7+3-WEEKDAY(DATE($V$1,12,1),2)+1)&lt;=DAY(EOMONTH(DATE($V$1,12,1),0))),(1*7+3-WEEKDAY(DATE($V$1,12,1),2)+1),"")</f>
        <v>8</v>
      </c>
      <c r="AG31" s="20" t="n">
        <f aca="false">IF(AND((1*7+4-WEEKDAY(DATE($V$1,12,1),2)+1)&gt;=1,(1*7+4-WEEKDAY(DATE($V$1,12,1),2)+1)&lt;=DAY(EOMONTH(DATE($V$1,12,1),0))),(1*7+4-WEEKDAY(DATE($V$1,12,1),2)+1),"")</f>
        <v>9</v>
      </c>
      <c r="AH31" s="20" t="n">
        <f aca="false">IF(AND((1*7+5-WEEKDAY(DATE($V$1,12,1),2)+1)&gt;=1,(1*7+5-WEEKDAY(DATE($V$1,12,1),2)+1)&lt;=DAY(EOMONTH(DATE($V$1,12,1),0))),(1*7+5-WEEKDAY(DATE($V$1,12,1),2)+1),"")</f>
        <v>10</v>
      </c>
      <c r="AI31" s="21" t="n">
        <f aca="false">IF(AND((1*7+6-WEEKDAY(DATE($V$1,12,1),2)+1)&gt;=1,(1*7+6-WEEKDAY(DATE($V$1,12,1),2)+1)&lt;=DAY(EOMONTH(DATE($V$1,12,1),0))),(1*7+6-WEEKDAY(DATE($V$1,12,1),2)+1),"")</f>
        <v>11</v>
      </c>
      <c r="AJ31" s="22" t="n">
        <f aca="false">IF(AND((1*7+7-WEEKDAY(DATE($V$1,12,1),2)+1)&gt;=1,(1*7+7-WEEKDAY(DATE($V$1,12,1),2)+1)&lt;=DAY(EOMONTH(DATE($V$1,12,1),0))),(1*7+7-WEEKDAY(DATE($V$1,12,1),2)+1),"")</f>
        <v>12</v>
      </c>
    </row>
    <row r="32" customFormat="false" ht="15" hidden="false" customHeight="true" outlineLevel="0" collapsed="false">
      <c r="B32" s="19" t="n">
        <f aca="false">IF(AND((2*7+7-WEEKDAY(DATE($V$1,9,1),2)+1)&gt;=1,(2*7+1-WEEKDAY(DATE($V$1,9,1),2)+1)&lt;=DAY(EOMONTH(DATE($V$1,9,1),0))),INT(((DATE($V$1,9,1)-WEEKDAY(DATE($V$1,9,1),2)+1+2*7)-DATE(YEAR((DATE($V$1,9,1)-WEEKDAY(DATE($V$1,9,1),2)+1+2*7)-WEEKDAY((DATE($V$1,9,1)-WEEKDAY(DATE($V$1,9,1),2)+1+2*7)-1)+4),1,3)+WEEKDAY(DATE(YEAR((DATE($V$1,9,1)-WEEKDAY(DATE($V$1,9,1),2)+1+2*7)-WEEKDAY((DATE($V$1,9,1)-WEEKDAY(DATE($V$1,9,1),2)+1+2*7)-1)+4),1,3))+5)/7),"")</f>
        <v>37</v>
      </c>
      <c r="C32" s="20" t="n">
        <f aca="false">IF(AND((2*7+1-WEEKDAY(DATE($V$1,9,1),2)+1)&gt;=1,(2*7+1-WEEKDAY(DATE($V$1,9,1),2)+1)&lt;=DAY(EOMONTH(DATE($V$1,9,1),0))),(2*7+1-WEEKDAY(DATE($V$1,9,1),2)+1),"")</f>
        <v>13</v>
      </c>
      <c r="D32" s="20" t="n">
        <f aca="false">IF(AND((2*7+2-WEEKDAY(DATE($V$1,9,1),2)+1)&gt;=1,(2*7+2-WEEKDAY(DATE($V$1,9,1),2)+1)&lt;=DAY(EOMONTH(DATE($V$1,9,1),0))),(2*7+2-WEEKDAY(DATE($V$1,9,1),2)+1),"")</f>
        <v>14</v>
      </c>
      <c r="E32" s="20" t="n">
        <f aca="false">IF(AND((2*7+3-WEEKDAY(DATE($V$1,9,1),2)+1)&gt;=1,(2*7+3-WEEKDAY(DATE($V$1,9,1),2)+1)&lt;=DAY(EOMONTH(DATE($V$1,9,1),0))),(2*7+3-WEEKDAY(DATE($V$1,9,1),2)+1),"")</f>
        <v>15</v>
      </c>
      <c r="F32" s="20" t="n">
        <f aca="false">IF(AND((2*7+4-WEEKDAY(DATE($V$1,9,1),2)+1)&gt;=1,(2*7+4-WEEKDAY(DATE($V$1,9,1),2)+1)&lt;=DAY(EOMONTH(DATE($V$1,9,1),0))),(2*7+4-WEEKDAY(DATE($V$1,9,1),2)+1),"")</f>
        <v>16</v>
      </c>
      <c r="G32" s="20" t="n">
        <f aca="false">IF(AND((2*7+5-WEEKDAY(DATE($V$1,9,1),2)+1)&gt;=1,(2*7+5-WEEKDAY(DATE($V$1,9,1),2)+1)&lt;=DAY(EOMONTH(DATE($V$1,9,1),0))),(2*7+5-WEEKDAY(DATE($V$1,9,1),2)+1),"")</f>
        <v>17</v>
      </c>
      <c r="H32" s="21" t="n">
        <f aca="false">IF(AND((2*7+6-WEEKDAY(DATE($V$1,9,1),2)+1)&gt;=1,(2*7+6-WEEKDAY(DATE($V$1,9,1),2)+1)&lt;=DAY(EOMONTH(DATE($V$1,9,1),0))),(2*7+6-WEEKDAY(DATE($V$1,9,1),2)+1),"")</f>
        <v>18</v>
      </c>
      <c r="I32" s="22" t="n">
        <f aca="false">IF(AND((2*7+7-WEEKDAY(DATE($V$1,9,1),2)+1)&gt;=1,(2*7+7-WEEKDAY(DATE($V$1,9,1),2)+1)&lt;=DAY(EOMONTH(DATE($V$1,9,1),0))),(2*7+7-WEEKDAY(DATE($V$1,9,1),2)+1),"")</f>
        <v>19</v>
      </c>
      <c r="K32" s="19" t="n">
        <f aca="false">IF(AND((2*7+7-WEEKDAY(DATE($V$1,10,1),2)+1)&gt;=1,(2*7+1-WEEKDAY(DATE($V$1,10,1),2)+1)&lt;=DAY(EOMONTH(DATE($V$1,10,1),0))),INT(((DATE($V$1,10,1)-WEEKDAY(DATE($V$1,10,1),2)+1+2*7)-DATE(YEAR((DATE($V$1,10,1)-WEEKDAY(DATE($V$1,10,1),2)+1+2*7)-WEEKDAY((DATE($V$1,10,1)-WEEKDAY(DATE($V$1,10,1),2)+1+2*7)-1)+4),1,3)+WEEKDAY(DATE(YEAR((DATE($V$1,10,1)-WEEKDAY(DATE($V$1,10,1),2)+1+2*7)-WEEKDAY((DATE($V$1,10,1)-WEEKDAY(DATE($V$1,10,1),2)+1+2*7)-1)+4),1,3))+5)/7),"")</f>
        <v>41</v>
      </c>
      <c r="L32" s="20" t="n">
        <f aca="false">IF(AND((2*7+1-WEEKDAY(DATE($V$1,10,1),2)+1)&gt;=1,(2*7+1-WEEKDAY(DATE($V$1,10,1),2)+1)&lt;=DAY(EOMONTH(DATE($V$1,10,1),0))),(2*7+1-WEEKDAY(DATE($V$1,10,1),2)+1),"")</f>
        <v>11</v>
      </c>
      <c r="M32" s="20" t="n">
        <f aca="false">IF(AND((2*7+2-WEEKDAY(DATE($V$1,10,1),2)+1)&gt;=1,(2*7+2-WEEKDAY(DATE($V$1,10,1),2)+1)&lt;=DAY(EOMONTH(DATE($V$1,10,1),0))),(2*7+2-WEEKDAY(DATE($V$1,10,1),2)+1),"")</f>
        <v>12</v>
      </c>
      <c r="N32" s="20" t="n">
        <f aca="false">IF(AND((2*7+3-WEEKDAY(DATE($V$1,10,1),2)+1)&gt;=1,(2*7+3-WEEKDAY(DATE($V$1,10,1),2)+1)&lt;=DAY(EOMONTH(DATE($V$1,10,1),0))),(2*7+3-WEEKDAY(DATE($V$1,10,1),2)+1),"")</f>
        <v>13</v>
      </c>
      <c r="O32" s="20" t="n">
        <f aca="false">IF(AND((2*7+4-WEEKDAY(DATE($V$1,10,1),2)+1)&gt;=1,(2*7+4-WEEKDAY(DATE($V$1,10,1),2)+1)&lt;=DAY(EOMONTH(DATE($V$1,10,1),0))),(2*7+4-WEEKDAY(DATE($V$1,10,1),2)+1),"")</f>
        <v>14</v>
      </c>
      <c r="P32" s="20" t="n">
        <f aca="false">IF(AND((2*7+5-WEEKDAY(DATE($V$1,10,1),2)+1)&gt;=1,(2*7+5-WEEKDAY(DATE($V$1,10,1),2)+1)&lt;=DAY(EOMONTH(DATE($V$1,10,1),0))),(2*7+5-WEEKDAY(DATE($V$1,10,1),2)+1),"")</f>
        <v>15</v>
      </c>
      <c r="Q32" s="21" t="n">
        <f aca="false">IF(AND((2*7+6-WEEKDAY(DATE($V$1,10,1),2)+1)&gt;=1,(2*7+6-WEEKDAY(DATE($V$1,10,1),2)+1)&lt;=DAY(EOMONTH(DATE($V$1,10,1),0))),(2*7+6-WEEKDAY(DATE($V$1,10,1),2)+1),"")</f>
        <v>16</v>
      </c>
      <c r="R32" s="22" t="n">
        <f aca="false">IF(AND((2*7+7-WEEKDAY(DATE($V$1,10,1),2)+1)&gt;=1,(2*7+7-WEEKDAY(DATE($V$1,10,1),2)+1)&lt;=DAY(EOMONTH(DATE($V$1,10,1),0))),(2*7+7-WEEKDAY(DATE($V$1,10,1),2)+1),"")</f>
        <v>17</v>
      </c>
      <c r="T32" s="19" t="n">
        <f aca="false">IF(AND((2*7+7-WEEKDAY(DATE($V$1,11,1),2)+1)&gt;=1,(2*7+1-WEEKDAY(DATE($V$1,11,1),2)+1)&lt;=DAY(EOMONTH(DATE($V$1,11,1),0))),INT(((DATE($V$1,11,1)-WEEKDAY(DATE($V$1,11,1),2)+1+2*7)-DATE(YEAR((DATE($V$1,11,1)-WEEKDAY(DATE($V$1,11,1),2)+1+2*7)-WEEKDAY((DATE($V$1,11,1)-WEEKDAY(DATE($V$1,11,1),2)+1+2*7)-1)+4),1,3)+WEEKDAY(DATE(YEAR((DATE($V$1,11,1)-WEEKDAY(DATE($V$1,11,1),2)+1+2*7)-WEEKDAY((DATE($V$1,11,1)-WEEKDAY(DATE($V$1,11,1),2)+1+2*7)-1)+4),1,3))+5)/7),"")</f>
        <v>46</v>
      </c>
      <c r="U32" s="20" t="n">
        <f aca="false">IF(AND((2*7+1-WEEKDAY(DATE($V$1,11,1),2)+1)&gt;=1,(2*7+1-WEEKDAY(DATE($V$1,11,1),2)+1)&lt;=DAY(EOMONTH(DATE($V$1,11,1),0))),(2*7+1-WEEKDAY(DATE($V$1,11,1),2)+1),"")</f>
        <v>15</v>
      </c>
      <c r="V32" s="20" t="n">
        <f aca="false">IF(AND((2*7+2-WEEKDAY(DATE($V$1,11,1),2)+1)&gt;=1,(2*7+2-WEEKDAY(DATE($V$1,11,1),2)+1)&lt;=DAY(EOMONTH(DATE($V$1,11,1),0))),(2*7+2-WEEKDAY(DATE($V$1,11,1),2)+1),"")</f>
        <v>16</v>
      </c>
      <c r="W32" s="20" t="n">
        <f aca="false">IF(AND((2*7+3-WEEKDAY(DATE($V$1,11,1),2)+1)&gt;=1,(2*7+3-WEEKDAY(DATE($V$1,11,1),2)+1)&lt;=DAY(EOMONTH(DATE($V$1,11,1),0))),(2*7+3-WEEKDAY(DATE($V$1,11,1),2)+1),"")</f>
        <v>17</v>
      </c>
      <c r="X32" s="20" t="n">
        <f aca="false">IF(AND((2*7+4-WEEKDAY(DATE($V$1,11,1),2)+1)&gt;=1,(2*7+4-WEEKDAY(DATE($V$1,11,1),2)+1)&lt;=DAY(EOMONTH(DATE($V$1,11,1),0))),(2*7+4-WEEKDAY(DATE($V$1,11,1),2)+1),"")</f>
        <v>18</v>
      </c>
      <c r="Y32" s="20" t="n">
        <f aca="false">IF(AND((2*7+5-WEEKDAY(DATE($V$1,11,1),2)+1)&gt;=1,(2*7+5-WEEKDAY(DATE($V$1,11,1),2)+1)&lt;=DAY(EOMONTH(DATE($V$1,11,1),0))),(2*7+5-WEEKDAY(DATE($V$1,11,1),2)+1),"")</f>
        <v>19</v>
      </c>
      <c r="Z32" s="21" t="n">
        <f aca="false">IF(AND((2*7+6-WEEKDAY(DATE($V$1,11,1),2)+1)&gt;=1,(2*7+6-WEEKDAY(DATE($V$1,11,1),2)+1)&lt;=DAY(EOMONTH(DATE($V$1,11,1),0))),(2*7+6-WEEKDAY(DATE($V$1,11,1),2)+1),"")</f>
        <v>20</v>
      </c>
      <c r="AA32" s="22" t="n">
        <f aca="false">IF(AND((2*7+7-WEEKDAY(DATE($V$1,11,1),2)+1)&gt;=1,(2*7+7-WEEKDAY(DATE($V$1,11,1),2)+1)&lt;=DAY(EOMONTH(DATE($V$1,11,1),0))),(2*7+7-WEEKDAY(DATE($V$1,11,1),2)+1),"")</f>
        <v>21</v>
      </c>
      <c r="AC32" s="19" t="n">
        <f aca="false">IF(AND((2*7+7-WEEKDAY(DATE($V$1,12,1),2)+1)&gt;=1,(2*7+1-WEEKDAY(DATE($V$1,12,1),2)+1)&lt;=DAY(EOMONTH(DATE($V$1,12,1),0))),INT(((DATE($V$1,12,1)-WEEKDAY(DATE($V$1,12,1),2)+1+2*7)-DATE(YEAR((DATE($V$1,12,1)-WEEKDAY(DATE($V$1,12,1),2)+1+2*7)-WEEKDAY((DATE($V$1,12,1)-WEEKDAY(DATE($V$1,12,1),2)+1+2*7)-1)+4),1,3)+WEEKDAY(DATE(YEAR((DATE($V$1,12,1)-WEEKDAY(DATE($V$1,12,1),2)+1+2*7)-WEEKDAY((DATE($V$1,12,1)-WEEKDAY(DATE($V$1,12,1),2)+1+2*7)-1)+4),1,3))+5)/7),"")</f>
        <v>50</v>
      </c>
      <c r="AD32" s="20" t="n">
        <f aca="false">IF(AND((2*7+1-WEEKDAY(DATE($V$1,12,1),2)+1)&gt;=1,(2*7+1-WEEKDAY(DATE($V$1,12,1),2)+1)&lt;=DAY(EOMONTH(DATE($V$1,12,1),0))),(2*7+1-WEEKDAY(DATE($V$1,12,1),2)+1),"")</f>
        <v>13</v>
      </c>
      <c r="AE32" s="20" t="n">
        <f aca="false">IF(AND((2*7+2-WEEKDAY(DATE($V$1,12,1),2)+1)&gt;=1,(2*7+2-WEEKDAY(DATE($V$1,12,1),2)+1)&lt;=DAY(EOMONTH(DATE($V$1,12,1),0))),(2*7+2-WEEKDAY(DATE($V$1,12,1),2)+1),"")</f>
        <v>14</v>
      </c>
      <c r="AF32" s="20" t="n">
        <f aca="false">IF(AND((2*7+3-WEEKDAY(DATE($V$1,12,1),2)+1)&gt;=1,(2*7+3-WEEKDAY(DATE($V$1,12,1),2)+1)&lt;=DAY(EOMONTH(DATE($V$1,12,1),0))),(2*7+3-WEEKDAY(DATE($V$1,12,1),2)+1),"")</f>
        <v>15</v>
      </c>
      <c r="AG32" s="20" t="n">
        <f aca="false">IF(AND((2*7+4-WEEKDAY(DATE($V$1,12,1),2)+1)&gt;=1,(2*7+4-WEEKDAY(DATE($V$1,12,1),2)+1)&lt;=DAY(EOMONTH(DATE($V$1,12,1),0))),(2*7+4-WEEKDAY(DATE($V$1,12,1),2)+1),"")</f>
        <v>16</v>
      </c>
      <c r="AH32" s="20" t="n">
        <f aca="false">IF(AND((2*7+5-WEEKDAY(DATE($V$1,12,1),2)+1)&gt;=1,(2*7+5-WEEKDAY(DATE($V$1,12,1),2)+1)&lt;=DAY(EOMONTH(DATE($V$1,12,1),0))),(2*7+5-WEEKDAY(DATE($V$1,12,1),2)+1),"")</f>
        <v>17</v>
      </c>
      <c r="AI32" s="21" t="n">
        <f aca="false">IF(AND((2*7+6-WEEKDAY(DATE($V$1,12,1),2)+1)&gt;=1,(2*7+6-WEEKDAY(DATE($V$1,12,1),2)+1)&lt;=DAY(EOMONTH(DATE($V$1,12,1),0))),(2*7+6-WEEKDAY(DATE($V$1,12,1),2)+1),"")</f>
        <v>18</v>
      </c>
      <c r="AJ32" s="22" t="n">
        <f aca="false">IF(AND((2*7+7-WEEKDAY(DATE($V$1,12,1),2)+1)&gt;=1,(2*7+7-WEEKDAY(DATE($V$1,12,1),2)+1)&lt;=DAY(EOMONTH(DATE($V$1,12,1),0))),(2*7+7-WEEKDAY(DATE($V$1,12,1),2)+1),"")</f>
        <v>19</v>
      </c>
    </row>
    <row r="33" customFormat="false" ht="15" hidden="false" customHeight="true" outlineLevel="0" collapsed="false">
      <c r="B33" s="19" t="n">
        <f aca="false">IF(AND((3*7+7-WEEKDAY(DATE($V$1,9,1),2)+1)&gt;=1,(3*7+1-WEEKDAY(DATE($V$1,9,1),2)+1)&lt;=DAY(EOMONTH(DATE($V$1,9,1),0))),INT(((DATE($V$1,9,1)-WEEKDAY(DATE($V$1,9,1),2)+1+3*7)-DATE(YEAR((DATE($V$1,9,1)-WEEKDAY(DATE($V$1,9,1),2)+1+3*7)-WEEKDAY((DATE($V$1,9,1)-WEEKDAY(DATE($V$1,9,1),2)+1+3*7)-1)+4),1,3)+WEEKDAY(DATE(YEAR((DATE($V$1,9,1)-WEEKDAY(DATE($V$1,9,1),2)+1+3*7)-WEEKDAY((DATE($V$1,9,1)-WEEKDAY(DATE($V$1,9,1),2)+1+3*7)-1)+4),1,3))+5)/7),"")</f>
        <v>38</v>
      </c>
      <c r="C33" s="20" t="n">
        <f aca="false">IF(AND((3*7+1-WEEKDAY(DATE($V$1,9,1),2)+1)&gt;=1,(3*7+1-WEEKDAY(DATE($V$1,9,1),2)+1)&lt;=DAY(EOMONTH(DATE($V$1,9,1),0))),(3*7+1-WEEKDAY(DATE($V$1,9,1),2)+1),"")</f>
        <v>20</v>
      </c>
      <c r="D33" s="20" t="n">
        <f aca="false">IF(AND((3*7+2-WEEKDAY(DATE($V$1,9,1),2)+1)&gt;=1,(3*7+2-WEEKDAY(DATE($V$1,9,1),2)+1)&lt;=DAY(EOMONTH(DATE($V$1,9,1),0))),(3*7+2-WEEKDAY(DATE($V$1,9,1),2)+1),"")</f>
        <v>21</v>
      </c>
      <c r="E33" s="20" t="n">
        <f aca="false">IF(AND((3*7+3-WEEKDAY(DATE($V$1,9,1),2)+1)&gt;=1,(3*7+3-WEEKDAY(DATE($V$1,9,1),2)+1)&lt;=DAY(EOMONTH(DATE($V$1,9,1),0))),(3*7+3-WEEKDAY(DATE($V$1,9,1),2)+1),"")</f>
        <v>22</v>
      </c>
      <c r="F33" s="20" t="n">
        <f aca="false">IF(AND((3*7+4-WEEKDAY(DATE($V$1,9,1),2)+1)&gt;=1,(3*7+4-WEEKDAY(DATE($V$1,9,1),2)+1)&lt;=DAY(EOMONTH(DATE($V$1,9,1),0))),(3*7+4-WEEKDAY(DATE($V$1,9,1),2)+1),"")</f>
        <v>23</v>
      </c>
      <c r="G33" s="20" t="n">
        <f aca="false">IF(AND((3*7+5-WEEKDAY(DATE($V$1,9,1),2)+1)&gt;=1,(3*7+5-WEEKDAY(DATE($V$1,9,1),2)+1)&lt;=DAY(EOMONTH(DATE($V$1,9,1),0))),(3*7+5-WEEKDAY(DATE($V$1,9,1),2)+1),"")</f>
        <v>24</v>
      </c>
      <c r="H33" s="21" t="n">
        <f aca="false">IF(AND((3*7+6-WEEKDAY(DATE($V$1,9,1),2)+1)&gt;=1,(3*7+6-WEEKDAY(DATE($V$1,9,1),2)+1)&lt;=DAY(EOMONTH(DATE($V$1,9,1),0))),(3*7+6-WEEKDAY(DATE($V$1,9,1),2)+1),"")</f>
        <v>25</v>
      </c>
      <c r="I33" s="22" t="n">
        <f aca="false">IF(AND((3*7+7-WEEKDAY(DATE($V$1,9,1),2)+1)&gt;=1,(3*7+7-WEEKDAY(DATE($V$1,9,1),2)+1)&lt;=DAY(EOMONTH(DATE($V$1,9,1),0))),(3*7+7-WEEKDAY(DATE($V$1,9,1),2)+1),"")</f>
        <v>26</v>
      </c>
      <c r="K33" s="19" t="n">
        <f aca="false">IF(AND((3*7+7-WEEKDAY(DATE($V$1,10,1),2)+1)&gt;=1,(3*7+1-WEEKDAY(DATE($V$1,10,1),2)+1)&lt;=DAY(EOMONTH(DATE($V$1,10,1),0))),INT(((DATE($V$1,10,1)-WEEKDAY(DATE($V$1,10,1),2)+1+3*7)-DATE(YEAR((DATE($V$1,10,1)-WEEKDAY(DATE($V$1,10,1),2)+1+3*7)-WEEKDAY((DATE($V$1,10,1)-WEEKDAY(DATE($V$1,10,1),2)+1+3*7)-1)+4),1,3)+WEEKDAY(DATE(YEAR((DATE($V$1,10,1)-WEEKDAY(DATE($V$1,10,1),2)+1+3*7)-WEEKDAY((DATE($V$1,10,1)-WEEKDAY(DATE($V$1,10,1),2)+1+3*7)-1)+4),1,3))+5)/7),"")</f>
        <v>42</v>
      </c>
      <c r="L33" s="20" t="n">
        <f aca="false">IF(AND((3*7+1-WEEKDAY(DATE($V$1,10,1),2)+1)&gt;=1,(3*7+1-WEEKDAY(DATE($V$1,10,1),2)+1)&lt;=DAY(EOMONTH(DATE($V$1,10,1),0))),(3*7+1-WEEKDAY(DATE($V$1,10,1),2)+1),"")</f>
        <v>18</v>
      </c>
      <c r="M33" s="20" t="n">
        <f aca="false">IF(AND((3*7+2-WEEKDAY(DATE($V$1,10,1),2)+1)&gt;=1,(3*7+2-WEEKDAY(DATE($V$1,10,1),2)+1)&lt;=DAY(EOMONTH(DATE($V$1,10,1),0))),(3*7+2-WEEKDAY(DATE($V$1,10,1),2)+1),"")</f>
        <v>19</v>
      </c>
      <c r="N33" s="20" t="n">
        <f aca="false">IF(AND((3*7+3-WEEKDAY(DATE($V$1,10,1),2)+1)&gt;=1,(3*7+3-WEEKDAY(DATE($V$1,10,1),2)+1)&lt;=DAY(EOMONTH(DATE($V$1,10,1),0))),(3*7+3-WEEKDAY(DATE($V$1,10,1),2)+1),"")</f>
        <v>20</v>
      </c>
      <c r="O33" s="20" t="n">
        <f aca="false">IF(AND((3*7+4-WEEKDAY(DATE($V$1,10,1),2)+1)&gt;=1,(3*7+4-WEEKDAY(DATE($V$1,10,1),2)+1)&lt;=DAY(EOMONTH(DATE($V$1,10,1),0))),(3*7+4-WEEKDAY(DATE($V$1,10,1),2)+1),"")</f>
        <v>21</v>
      </c>
      <c r="P33" s="20" t="n">
        <f aca="false">IF(AND((3*7+5-WEEKDAY(DATE($V$1,10,1),2)+1)&gt;=1,(3*7+5-WEEKDAY(DATE($V$1,10,1),2)+1)&lt;=DAY(EOMONTH(DATE($V$1,10,1),0))),(3*7+5-WEEKDAY(DATE($V$1,10,1),2)+1),"")</f>
        <v>22</v>
      </c>
      <c r="Q33" s="21" t="n">
        <f aca="false">IF(AND((3*7+6-WEEKDAY(DATE($V$1,10,1),2)+1)&gt;=1,(3*7+6-WEEKDAY(DATE($V$1,10,1),2)+1)&lt;=DAY(EOMONTH(DATE($V$1,10,1),0))),(3*7+6-WEEKDAY(DATE($V$1,10,1),2)+1),"")</f>
        <v>23</v>
      </c>
      <c r="R33" s="22" t="n">
        <f aca="false">IF(AND((3*7+7-WEEKDAY(DATE($V$1,10,1),2)+1)&gt;=1,(3*7+7-WEEKDAY(DATE($V$1,10,1),2)+1)&lt;=DAY(EOMONTH(DATE($V$1,10,1),0))),(3*7+7-WEEKDAY(DATE($V$1,10,1),2)+1),"")</f>
        <v>24</v>
      </c>
      <c r="T33" s="19" t="n">
        <f aca="false">IF(AND((3*7+7-WEEKDAY(DATE($V$1,11,1),2)+1)&gt;=1,(3*7+1-WEEKDAY(DATE($V$1,11,1),2)+1)&lt;=DAY(EOMONTH(DATE($V$1,11,1),0))),INT(((DATE($V$1,11,1)-WEEKDAY(DATE($V$1,11,1),2)+1+3*7)-DATE(YEAR((DATE($V$1,11,1)-WEEKDAY(DATE($V$1,11,1),2)+1+3*7)-WEEKDAY((DATE($V$1,11,1)-WEEKDAY(DATE($V$1,11,1),2)+1+3*7)-1)+4),1,3)+WEEKDAY(DATE(YEAR((DATE($V$1,11,1)-WEEKDAY(DATE($V$1,11,1),2)+1+3*7)-WEEKDAY((DATE($V$1,11,1)-WEEKDAY(DATE($V$1,11,1),2)+1+3*7)-1)+4),1,3))+5)/7),"")</f>
        <v>47</v>
      </c>
      <c r="U33" s="20" t="n">
        <f aca="false">IF(AND((3*7+1-WEEKDAY(DATE($V$1,11,1),2)+1)&gt;=1,(3*7+1-WEEKDAY(DATE($V$1,11,1),2)+1)&lt;=DAY(EOMONTH(DATE($V$1,11,1),0))),(3*7+1-WEEKDAY(DATE($V$1,11,1),2)+1),"")</f>
        <v>22</v>
      </c>
      <c r="V33" s="20" t="n">
        <f aca="false">IF(AND((3*7+2-WEEKDAY(DATE($V$1,11,1),2)+1)&gt;=1,(3*7+2-WEEKDAY(DATE($V$1,11,1),2)+1)&lt;=DAY(EOMONTH(DATE($V$1,11,1),0))),(3*7+2-WEEKDAY(DATE($V$1,11,1),2)+1),"")</f>
        <v>23</v>
      </c>
      <c r="W33" s="20" t="n">
        <f aca="false">IF(AND((3*7+3-WEEKDAY(DATE($V$1,11,1),2)+1)&gt;=1,(3*7+3-WEEKDAY(DATE($V$1,11,1),2)+1)&lt;=DAY(EOMONTH(DATE($V$1,11,1),0))),(3*7+3-WEEKDAY(DATE($V$1,11,1),2)+1),"")</f>
        <v>24</v>
      </c>
      <c r="X33" s="20" t="n">
        <f aca="false">IF(AND((3*7+4-WEEKDAY(DATE($V$1,11,1),2)+1)&gt;=1,(3*7+4-WEEKDAY(DATE($V$1,11,1),2)+1)&lt;=DAY(EOMONTH(DATE($V$1,11,1),0))),(3*7+4-WEEKDAY(DATE($V$1,11,1),2)+1),"")</f>
        <v>25</v>
      </c>
      <c r="Y33" s="20" t="n">
        <f aca="false">IF(AND((3*7+5-WEEKDAY(DATE($V$1,11,1),2)+1)&gt;=1,(3*7+5-WEEKDAY(DATE($V$1,11,1),2)+1)&lt;=DAY(EOMONTH(DATE($V$1,11,1),0))),(3*7+5-WEEKDAY(DATE($V$1,11,1),2)+1),"")</f>
        <v>26</v>
      </c>
      <c r="Z33" s="21" t="n">
        <f aca="false">IF(AND((3*7+6-WEEKDAY(DATE($V$1,11,1),2)+1)&gt;=1,(3*7+6-WEEKDAY(DATE($V$1,11,1),2)+1)&lt;=DAY(EOMONTH(DATE($V$1,11,1),0))),(3*7+6-WEEKDAY(DATE($V$1,11,1),2)+1),"")</f>
        <v>27</v>
      </c>
      <c r="AA33" s="22" t="n">
        <f aca="false">IF(AND((3*7+7-WEEKDAY(DATE($V$1,11,1),2)+1)&gt;=1,(3*7+7-WEEKDAY(DATE($V$1,11,1),2)+1)&lt;=DAY(EOMONTH(DATE($V$1,11,1),0))),(3*7+7-WEEKDAY(DATE($V$1,11,1),2)+1),"")</f>
        <v>28</v>
      </c>
      <c r="AC33" s="19" t="n">
        <f aca="false">IF(AND((3*7+7-WEEKDAY(DATE($V$1,12,1),2)+1)&gt;=1,(3*7+1-WEEKDAY(DATE($V$1,12,1),2)+1)&lt;=DAY(EOMONTH(DATE($V$1,12,1),0))),INT(((DATE($V$1,12,1)-WEEKDAY(DATE($V$1,12,1),2)+1+3*7)-DATE(YEAR((DATE($V$1,12,1)-WEEKDAY(DATE($V$1,12,1),2)+1+3*7)-WEEKDAY((DATE($V$1,12,1)-WEEKDAY(DATE($V$1,12,1),2)+1+3*7)-1)+4),1,3)+WEEKDAY(DATE(YEAR((DATE($V$1,12,1)-WEEKDAY(DATE($V$1,12,1),2)+1+3*7)-WEEKDAY((DATE($V$1,12,1)-WEEKDAY(DATE($V$1,12,1),2)+1+3*7)-1)+4),1,3))+5)/7),"")</f>
        <v>51</v>
      </c>
      <c r="AD33" s="20" t="n">
        <f aca="false">IF(AND((3*7+1-WEEKDAY(DATE($V$1,12,1),2)+1)&gt;=1,(3*7+1-WEEKDAY(DATE($V$1,12,1),2)+1)&lt;=DAY(EOMONTH(DATE($V$1,12,1),0))),(3*7+1-WEEKDAY(DATE($V$1,12,1),2)+1),"")</f>
        <v>20</v>
      </c>
      <c r="AE33" s="20" t="n">
        <f aca="false">IF(AND((3*7+2-WEEKDAY(DATE($V$1,12,1),2)+1)&gt;=1,(3*7+2-WEEKDAY(DATE($V$1,12,1),2)+1)&lt;=DAY(EOMONTH(DATE($V$1,12,1),0))),(3*7+2-WEEKDAY(DATE($V$1,12,1),2)+1),"")</f>
        <v>21</v>
      </c>
      <c r="AF33" s="20" t="n">
        <f aca="false">IF(AND((3*7+3-WEEKDAY(DATE($V$1,12,1),2)+1)&gt;=1,(3*7+3-WEEKDAY(DATE($V$1,12,1),2)+1)&lt;=DAY(EOMONTH(DATE($V$1,12,1),0))),(3*7+3-WEEKDAY(DATE($V$1,12,1),2)+1),"")</f>
        <v>22</v>
      </c>
      <c r="AG33" s="20" t="n">
        <f aca="false">IF(AND((3*7+4-WEEKDAY(DATE($V$1,12,1),2)+1)&gt;=1,(3*7+4-WEEKDAY(DATE($V$1,12,1),2)+1)&lt;=DAY(EOMONTH(DATE($V$1,12,1),0))),(3*7+4-WEEKDAY(DATE($V$1,12,1),2)+1),"")</f>
        <v>23</v>
      </c>
      <c r="AH33" s="20" t="n">
        <f aca="false">IF(AND((3*7+5-WEEKDAY(DATE($V$1,12,1),2)+1)&gt;=1,(3*7+5-WEEKDAY(DATE($V$1,12,1),2)+1)&lt;=DAY(EOMONTH(DATE($V$1,12,1),0))),(3*7+5-WEEKDAY(DATE($V$1,12,1),2)+1),"")</f>
        <v>24</v>
      </c>
      <c r="AI33" s="21" t="n">
        <f aca="false">IF(AND((3*7+6-WEEKDAY(DATE($V$1,12,1),2)+1)&gt;=1,(3*7+6-WEEKDAY(DATE($V$1,12,1),2)+1)&lt;=DAY(EOMONTH(DATE($V$1,12,1),0))),(3*7+6-WEEKDAY(DATE($V$1,12,1),2)+1),"")</f>
        <v>25</v>
      </c>
      <c r="AJ33" s="22" t="n">
        <f aca="false">IF(AND((3*7+7-WEEKDAY(DATE($V$1,12,1),2)+1)&gt;=1,(3*7+7-WEEKDAY(DATE($V$1,12,1),2)+1)&lt;=DAY(EOMONTH(DATE($V$1,12,1),0))),(3*7+7-WEEKDAY(DATE($V$1,12,1),2)+1),"")</f>
        <v>26</v>
      </c>
    </row>
    <row r="34" customFormat="false" ht="15" hidden="false" customHeight="true" outlineLevel="0" collapsed="false">
      <c r="B34" s="19" t="n">
        <f aca="false">IF(AND((4*7+7-WEEKDAY(DATE($V$1,9,1),2)+1)&gt;=1,(4*7+1-WEEKDAY(DATE($V$1,9,1),2)+1)&lt;=DAY(EOMONTH(DATE($V$1,9,1),0))),INT(((DATE($V$1,9,1)-WEEKDAY(DATE($V$1,9,1),2)+1+4*7)-DATE(YEAR((DATE($V$1,9,1)-WEEKDAY(DATE($V$1,9,1),2)+1+4*7)-WEEKDAY((DATE($V$1,9,1)-WEEKDAY(DATE($V$1,9,1),2)+1+4*7)-1)+4),1,3)+WEEKDAY(DATE(YEAR((DATE($V$1,9,1)-WEEKDAY(DATE($V$1,9,1),2)+1+4*7)-WEEKDAY((DATE($V$1,9,1)-WEEKDAY(DATE($V$1,9,1),2)+1+4*7)-1)+4),1,3))+5)/7),"")</f>
        <v>39</v>
      </c>
      <c r="C34" s="20" t="n">
        <f aca="false">IF(AND((4*7+1-WEEKDAY(DATE($V$1,9,1),2)+1)&gt;=1,(4*7+1-WEEKDAY(DATE($V$1,9,1),2)+1)&lt;=DAY(EOMONTH(DATE($V$1,9,1),0))),(4*7+1-WEEKDAY(DATE($V$1,9,1),2)+1),"")</f>
        <v>27</v>
      </c>
      <c r="D34" s="20" t="n">
        <f aca="false">IF(AND((4*7+2-WEEKDAY(DATE($V$1,9,1),2)+1)&gt;=1,(4*7+2-WEEKDAY(DATE($V$1,9,1),2)+1)&lt;=DAY(EOMONTH(DATE($V$1,9,1),0))),(4*7+2-WEEKDAY(DATE($V$1,9,1),2)+1),"")</f>
        <v>28</v>
      </c>
      <c r="E34" s="20" t="n">
        <f aca="false">IF(AND((4*7+3-WEEKDAY(DATE($V$1,9,1),2)+1)&gt;=1,(4*7+3-WEEKDAY(DATE($V$1,9,1),2)+1)&lt;=DAY(EOMONTH(DATE($V$1,9,1),0))),(4*7+3-WEEKDAY(DATE($V$1,9,1),2)+1),"")</f>
        <v>29</v>
      </c>
      <c r="F34" s="20" t="n">
        <f aca="false">IF(AND((4*7+4-WEEKDAY(DATE($V$1,9,1),2)+1)&gt;=1,(4*7+4-WEEKDAY(DATE($V$1,9,1),2)+1)&lt;=DAY(EOMONTH(DATE($V$1,9,1),0))),(4*7+4-WEEKDAY(DATE($V$1,9,1),2)+1),"")</f>
        <v>30</v>
      </c>
      <c r="G34" s="20" t="str">
        <f aca="false">IF(AND((4*7+5-WEEKDAY(DATE($V$1,9,1),2)+1)&gt;=1,(4*7+5-WEEKDAY(DATE($V$1,9,1),2)+1)&lt;=DAY(EOMONTH(DATE($V$1,9,1),0))),(4*7+5-WEEKDAY(DATE($V$1,9,1),2)+1),"")</f>
        <v/>
      </c>
      <c r="H34" s="21" t="str">
        <f aca="false">IF(AND((4*7+6-WEEKDAY(DATE($V$1,9,1),2)+1)&gt;=1,(4*7+6-WEEKDAY(DATE($V$1,9,1),2)+1)&lt;=DAY(EOMONTH(DATE($V$1,9,1),0))),(4*7+6-WEEKDAY(DATE($V$1,9,1),2)+1),"")</f>
        <v/>
      </c>
      <c r="I34" s="22" t="str">
        <f aca="false">IF(AND((4*7+7-WEEKDAY(DATE($V$1,9,1),2)+1)&gt;=1,(4*7+7-WEEKDAY(DATE($V$1,9,1),2)+1)&lt;=DAY(EOMONTH(DATE($V$1,9,1),0))),(4*7+7-WEEKDAY(DATE($V$1,9,1),2)+1),"")</f>
        <v/>
      </c>
      <c r="K34" s="19" t="n">
        <f aca="false">IF(AND((4*7+7-WEEKDAY(DATE($V$1,10,1),2)+1)&gt;=1,(4*7+1-WEEKDAY(DATE($V$1,10,1),2)+1)&lt;=DAY(EOMONTH(DATE($V$1,10,1),0))),INT(((DATE($V$1,10,1)-WEEKDAY(DATE($V$1,10,1),2)+1+4*7)-DATE(YEAR((DATE($V$1,10,1)-WEEKDAY(DATE($V$1,10,1),2)+1+4*7)-WEEKDAY((DATE($V$1,10,1)-WEEKDAY(DATE($V$1,10,1),2)+1+4*7)-1)+4),1,3)+WEEKDAY(DATE(YEAR((DATE($V$1,10,1)-WEEKDAY(DATE($V$1,10,1),2)+1+4*7)-WEEKDAY((DATE($V$1,10,1)-WEEKDAY(DATE($V$1,10,1),2)+1+4*7)-1)+4),1,3))+5)/7),"")</f>
        <v>43</v>
      </c>
      <c r="L34" s="20" t="n">
        <f aca="false">IF(AND((4*7+1-WEEKDAY(DATE($V$1,10,1),2)+1)&gt;=1,(4*7+1-WEEKDAY(DATE($V$1,10,1),2)+1)&lt;=DAY(EOMONTH(DATE($V$1,10,1),0))),(4*7+1-WEEKDAY(DATE($V$1,10,1),2)+1),"")</f>
        <v>25</v>
      </c>
      <c r="M34" s="20" t="n">
        <f aca="false">IF(AND((4*7+2-WEEKDAY(DATE($V$1,10,1),2)+1)&gt;=1,(4*7+2-WEEKDAY(DATE($V$1,10,1),2)+1)&lt;=DAY(EOMONTH(DATE($V$1,10,1),0))),(4*7+2-WEEKDAY(DATE($V$1,10,1),2)+1),"")</f>
        <v>26</v>
      </c>
      <c r="N34" s="20" t="n">
        <f aca="false">IF(AND((4*7+3-WEEKDAY(DATE($V$1,10,1),2)+1)&gt;=1,(4*7+3-WEEKDAY(DATE($V$1,10,1),2)+1)&lt;=DAY(EOMONTH(DATE($V$1,10,1),0))),(4*7+3-WEEKDAY(DATE($V$1,10,1),2)+1),"")</f>
        <v>27</v>
      </c>
      <c r="O34" s="20" t="n">
        <f aca="false">IF(AND((4*7+4-WEEKDAY(DATE($V$1,10,1),2)+1)&gt;=1,(4*7+4-WEEKDAY(DATE($V$1,10,1),2)+1)&lt;=DAY(EOMONTH(DATE($V$1,10,1),0))),(4*7+4-WEEKDAY(DATE($V$1,10,1),2)+1),"")</f>
        <v>28</v>
      </c>
      <c r="P34" s="20" t="n">
        <f aca="false">IF(AND((4*7+5-WEEKDAY(DATE($V$1,10,1),2)+1)&gt;=1,(4*7+5-WEEKDAY(DATE($V$1,10,1),2)+1)&lt;=DAY(EOMONTH(DATE($V$1,10,1),0))),(4*7+5-WEEKDAY(DATE($V$1,10,1),2)+1),"")</f>
        <v>29</v>
      </c>
      <c r="Q34" s="21" t="n">
        <f aca="false">IF(AND((4*7+6-WEEKDAY(DATE($V$1,10,1),2)+1)&gt;=1,(4*7+6-WEEKDAY(DATE($V$1,10,1),2)+1)&lt;=DAY(EOMONTH(DATE($V$1,10,1),0))),(4*7+6-WEEKDAY(DATE($V$1,10,1),2)+1),"")</f>
        <v>30</v>
      </c>
      <c r="R34" s="22" t="n">
        <f aca="false">IF(AND((4*7+7-WEEKDAY(DATE($V$1,10,1),2)+1)&gt;=1,(4*7+7-WEEKDAY(DATE($V$1,10,1),2)+1)&lt;=DAY(EOMONTH(DATE($V$1,10,1),0))),(4*7+7-WEEKDAY(DATE($V$1,10,1),2)+1),"")</f>
        <v>31</v>
      </c>
      <c r="T34" s="19" t="n">
        <f aca="false">IF(AND((4*7+7-WEEKDAY(DATE($V$1,11,1),2)+1)&gt;=1,(4*7+1-WEEKDAY(DATE($V$1,11,1),2)+1)&lt;=DAY(EOMONTH(DATE($V$1,11,1),0))),INT(((DATE($V$1,11,1)-WEEKDAY(DATE($V$1,11,1),2)+1+4*7)-DATE(YEAR((DATE($V$1,11,1)-WEEKDAY(DATE($V$1,11,1),2)+1+4*7)-WEEKDAY((DATE($V$1,11,1)-WEEKDAY(DATE($V$1,11,1),2)+1+4*7)-1)+4),1,3)+WEEKDAY(DATE(YEAR((DATE($V$1,11,1)-WEEKDAY(DATE($V$1,11,1),2)+1+4*7)-WEEKDAY((DATE($V$1,11,1)-WEEKDAY(DATE($V$1,11,1),2)+1+4*7)-1)+4),1,3))+5)/7),"")</f>
        <v>48</v>
      </c>
      <c r="U34" s="20" t="n">
        <f aca="false">IF(AND((4*7+1-WEEKDAY(DATE($V$1,11,1),2)+1)&gt;=1,(4*7+1-WEEKDAY(DATE($V$1,11,1),2)+1)&lt;=DAY(EOMONTH(DATE($V$1,11,1),0))),(4*7+1-WEEKDAY(DATE($V$1,11,1),2)+1),"")</f>
        <v>29</v>
      </c>
      <c r="V34" s="20" t="n">
        <f aca="false">IF(AND((4*7+2-WEEKDAY(DATE($V$1,11,1),2)+1)&gt;=1,(4*7+2-WEEKDAY(DATE($V$1,11,1),2)+1)&lt;=DAY(EOMONTH(DATE($V$1,11,1),0))),(4*7+2-WEEKDAY(DATE($V$1,11,1),2)+1),"")</f>
        <v>30</v>
      </c>
      <c r="W34" s="20" t="str">
        <f aca="false">IF(AND((4*7+3-WEEKDAY(DATE($V$1,11,1),2)+1)&gt;=1,(4*7+3-WEEKDAY(DATE($V$1,11,1),2)+1)&lt;=DAY(EOMONTH(DATE($V$1,11,1),0))),(4*7+3-WEEKDAY(DATE($V$1,11,1),2)+1),"")</f>
        <v/>
      </c>
      <c r="X34" s="20" t="str">
        <f aca="false">IF(AND((4*7+4-WEEKDAY(DATE($V$1,11,1),2)+1)&gt;=1,(4*7+4-WEEKDAY(DATE($V$1,11,1),2)+1)&lt;=DAY(EOMONTH(DATE($V$1,11,1),0))),(4*7+4-WEEKDAY(DATE($V$1,11,1),2)+1),"")</f>
        <v/>
      </c>
      <c r="Y34" s="20" t="str">
        <f aca="false">IF(AND((4*7+5-WEEKDAY(DATE($V$1,11,1),2)+1)&gt;=1,(4*7+5-WEEKDAY(DATE($V$1,11,1),2)+1)&lt;=DAY(EOMONTH(DATE($V$1,11,1),0))),(4*7+5-WEEKDAY(DATE($V$1,11,1),2)+1),"")</f>
        <v/>
      </c>
      <c r="Z34" s="21" t="str">
        <f aca="false">IF(AND((4*7+6-WEEKDAY(DATE($V$1,11,1),2)+1)&gt;=1,(4*7+6-WEEKDAY(DATE($V$1,11,1),2)+1)&lt;=DAY(EOMONTH(DATE($V$1,11,1),0))),(4*7+6-WEEKDAY(DATE($V$1,11,1),2)+1),"")</f>
        <v/>
      </c>
      <c r="AA34" s="22" t="str">
        <f aca="false">IF(AND((4*7+7-WEEKDAY(DATE($V$1,11,1),2)+1)&gt;=1,(4*7+7-WEEKDAY(DATE($V$1,11,1),2)+1)&lt;=DAY(EOMONTH(DATE($V$1,11,1),0))),(4*7+7-WEEKDAY(DATE($V$1,11,1),2)+1),"")</f>
        <v/>
      </c>
      <c r="AC34" s="19" t="n">
        <f aca="false">IF(AND((4*7+7-WEEKDAY(DATE($V$1,12,1),2)+1)&gt;=1,(4*7+1-WEEKDAY(DATE($V$1,12,1),2)+1)&lt;=DAY(EOMONTH(DATE($V$1,12,1),0))),INT(((DATE($V$1,12,1)-WEEKDAY(DATE($V$1,12,1),2)+1+4*7)-DATE(YEAR((DATE($V$1,12,1)-WEEKDAY(DATE($V$1,12,1),2)+1+4*7)-WEEKDAY((DATE($V$1,12,1)-WEEKDAY(DATE($V$1,12,1),2)+1+4*7)-1)+4),1,3)+WEEKDAY(DATE(YEAR((DATE($V$1,12,1)-WEEKDAY(DATE($V$1,12,1),2)+1+4*7)-WEEKDAY((DATE($V$1,12,1)-WEEKDAY(DATE($V$1,12,1),2)+1+4*7)-1)+4),1,3))+5)/7),"")</f>
        <v>52</v>
      </c>
      <c r="AD34" s="20" t="n">
        <f aca="false">IF(AND((4*7+1-WEEKDAY(DATE($V$1,12,1),2)+1)&gt;=1,(4*7+1-WEEKDAY(DATE($V$1,12,1),2)+1)&lt;=DAY(EOMONTH(DATE($V$1,12,1),0))),(4*7+1-WEEKDAY(DATE($V$1,12,1),2)+1),"")</f>
        <v>27</v>
      </c>
      <c r="AE34" s="20" t="n">
        <f aca="false">IF(AND((4*7+2-WEEKDAY(DATE($V$1,12,1),2)+1)&gt;=1,(4*7+2-WEEKDAY(DATE($V$1,12,1),2)+1)&lt;=DAY(EOMONTH(DATE($V$1,12,1),0))),(4*7+2-WEEKDAY(DATE($V$1,12,1),2)+1),"")</f>
        <v>28</v>
      </c>
      <c r="AF34" s="20" t="n">
        <f aca="false">IF(AND((4*7+3-WEEKDAY(DATE($V$1,12,1),2)+1)&gt;=1,(4*7+3-WEEKDAY(DATE($V$1,12,1),2)+1)&lt;=DAY(EOMONTH(DATE($V$1,12,1),0))),(4*7+3-WEEKDAY(DATE($V$1,12,1),2)+1),"")</f>
        <v>29</v>
      </c>
      <c r="AG34" s="20" t="n">
        <f aca="false">IF(AND((4*7+4-WEEKDAY(DATE($V$1,12,1),2)+1)&gt;=1,(4*7+4-WEEKDAY(DATE($V$1,12,1),2)+1)&lt;=DAY(EOMONTH(DATE($V$1,12,1),0))),(4*7+4-WEEKDAY(DATE($V$1,12,1),2)+1),"")</f>
        <v>30</v>
      </c>
      <c r="AH34" s="20" t="n">
        <f aca="false">IF(AND((4*7+5-WEEKDAY(DATE($V$1,12,1),2)+1)&gt;=1,(4*7+5-WEEKDAY(DATE($V$1,12,1),2)+1)&lt;=DAY(EOMONTH(DATE($V$1,12,1),0))),(4*7+5-WEEKDAY(DATE($V$1,12,1),2)+1),"")</f>
        <v>31</v>
      </c>
      <c r="AI34" s="21" t="str">
        <f aca="false">IF(AND((4*7+6-WEEKDAY(DATE($V$1,12,1),2)+1)&gt;=1,(4*7+6-WEEKDAY(DATE($V$1,12,1),2)+1)&lt;=DAY(EOMONTH(DATE($V$1,12,1),0))),(4*7+6-WEEKDAY(DATE($V$1,12,1),2)+1),"")</f>
        <v/>
      </c>
      <c r="AJ34" s="22" t="str">
        <f aca="false">IF(AND((4*7+7-WEEKDAY(DATE($V$1,12,1),2)+1)&gt;=1,(4*7+7-WEEKDAY(DATE($V$1,12,1),2)+1)&lt;=DAY(EOMONTH(DATE($V$1,12,1),0))),(4*7+7-WEEKDAY(DATE($V$1,12,1),2)+1),"")</f>
        <v/>
      </c>
    </row>
    <row r="35" customFormat="false" ht="15" hidden="false" customHeight="true" outlineLevel="0" collapsed="false">
      <c r="B35" s="19" t="str">
        <f aca="false">IF(AND((5*7+7-WEEKDAY(DATE($V$1,9,1),2)+1)&gt;=1,(5*7+1-WEEKDAY(DATE($V$1,9,1),2)+1)&lt;=DAY(EOMONTH(DATE($V$1,9,1),0))),INT(((DATE($V$1,9,1)-WEEKDAY(DATE($V$1,9,1),2)+1+5*7)-DATE(YEAR((DATE($V$1,9,1)-WEEKDAY(DATE($V$1,9,1),2)+1+5*7)-WEEKDAY((DATE($V$1,9,1)-WEEKDAY(DATE($V$1,9,1),2)+1+5*7)-1)+4),1,3)+WEEKDAY(DATE(YEAR((DATE($V$1,9,1)-WEEKDAY(DATE($V$1,9,1),2)+1+5*7)-WEEKDAY((DATE($V$1,9,1)-WEEKDAY(DATE($V$1,9,1),2)+1+5*7)-1)+4),1,3))+5)/7),"")</f>
        <v/>
      </c>
      <c r="C35" s="20" t="str">
        <f aca="false">IF(AND((5*7+1-WEEKDAY(DATE($V$1,9,1),2)+1)&gt;=1,(5*7+1-WEEKDAY(DATE($V$1,9,1),2)+1)&lt;=DAY(EOMONTH(DATE($V$1,9,1),0))),(5*7+1-WEEKDAY(DATE($V$1,9,1),2)+1),"")</f>
        <v/>
      </c>
      <c r="D35" s="20" t="str">
        <f aca="false">IF(AND((5*7+2-WEEKDAY(DATE($V$1,9,1),2)+1)&gt;=1,(5*7+2-WEEKDAY(DATE($V$1,9,1),2)+1)&lt;=DAY(EOMONTH(DATE($V$1,9,1),0))),(5*7+2-WEEKDAY(DATE($V$1,9,1),2)+1),"")</f>
        <v/>
      </c>
      <c r="E35" s="20" t="str">
        <f aca="false">IF(AND((5*7+3-WEEKDAY(DATE($V$1,9,1),2)+1)&gt;=1,(5*7+3-WEEKDAY(DATE($V$1,9,1),2)+1)&lt;=DAY(EOMONTH(DATE($V$1,9,1),0))),(5*7+3-WEEKDAY(DATE($V$1,9,1),2)+1),"")</f>
        <v/>
      </c>
      <c r="F35" s="20" t="str">
        <f aca="false">IF(AND((5*7+4-WEEKDAY(DATE($V$1,9,1),2)+1)&gt;=1,(5*7+4-WEEKDAY(DATE($V$1,9,1),2)+1)&lt;=DAY(EOMONTH(DATE($V$1,9,1),0))),(5*7+4-WEEKDAY(DATE($V$1,9,1),2)+1),"")</f>
        <v/>
      </c>
      <c r="G35" s="20" t="str">
        <f aca="false">IF(AND((5*7+5-WEEKDAY(DATE($V$1,9,1),2)+1)&gt;=1,(5*7+5-WEEKDAY(DATE($V$1,9,1),2)+1)&lt;=DAY(EOMONTH(DATE($V$1,9,1),0))),(5*7+5-WEEKDAY(DATE($V$1,9,1),2)+1),"")</f>
        <v/>
      </c>
      <c r="H35" s="21" t="str">
        <f aca="false">IF(AND((5*7+6-WEEKDAY(DATE($V$1,9,1),2)+1)&gt;=1,(5*7+6-WEEKDAY(DATE($V$1,9,1),2)+1)&lt;=DAY(EOMONTH(DATE($V$1,9,1),0))),(5*7+6-WEEKDAY(DATE($V$1,9,1),2)+1),"")</f>
        <v/>
      </c>
      <c r="I35" s="22" t="str">
        <f aca="false">IF(AND((5*7+7-WEEKDAY(DATE($V$1,9,1),2)+1)&gt;=1,(5*7+7-WEEKDAY(DATE($V$1,9,1),2)+1)&lt;=DAY(EOMONTH(DATE($V$1,9,1),0))),(5*7+7-WEEKDAY(DATE($V$1,9,1),2)+1),"")</f>
        <v/>
      </c>
      <c r="K35" s="19" t="str">
        <f aca="false">IF(AND((5*7+7-WEEKDAY(DATE($V$1,10,1),2)+1)&gt;=1,(5*7+1-WEEKDAY(DATE($V$1,10,1),2)+1)&lt;=DAY(EOMONTH(DATE($V$1,10,1),0))),INT(((DATE($V$1,10,1)-WEEKDAY(DATE($V$1,10,1),2)+1+5*7)-DATE(YEAR((DATE($V$1,10,1)-WEEKDAY(DATE($V$1,10,1),2)+1+5*7)-WEEKDAY((DATE($V$1,10,1)-WEEKDAY(DATE($V$1,10,1),2)+1+5*7)-1)+4),1,3)+WEEKDAY(DATE(YEAR((DATE($V$1,10,1)-WEEKDAY(DATE($V$1,10,1),2)+1+5*7)-WEEKDAY((DATE($V$1,10,1)-WEEKDAY(DATE($V$1,10,1),2)+1+5*7)-1)+4),1,3))+5)/7),"")</f>
        <v/>
      </c>
      <c r="L35" s="20" t="str">
        <f aca="false">IF(AND((5*7+1-WEEKDAY(DATE($V$1,10,1),2)+1)&gt;=1,(5*7+1-WEEKDAY(DATE($V$1,10,1),2)+1)&lt;=DAY(EOMONTH(DATE($V$1,10,1),0))),(5*7+1-WEEKDAY(DATE($V$1,10,1),2)+1),"")</f>
        <v/>
      </c>
      <c r="M35" s="20" t="str">
        <f aca="false">IF(AND((5*7+2-WEEKDAY(DATE($V$1,10,1),2)+1)&gt;=1,(5*7+2-WEEKDAY(DATE($V$1,10,1),2)+1)&lt;=DAY(EOMONTH(DATE($V$1,10,1),0))),(5*7+2-WEEKDAY(DATE($V$1,10,1),2)+1),"")</f>
        <v/>
      </c>
      <c r="N35" s="20" t="str">
        <f aca="false">IF(AND((5*7+3-WEEKDAY(DATE($V$1,10,1),2)+1)&gt;=1,(5*7+3-WEEKDAY(DATE($V$1,10,1),2)+1)&lt;=DAY(EOMONTH(DATE($V$1,10,1),0))),(5*7+3-WEEKDAY(DATE($V$1,10,1),2)+1),"")</f>
        <v/>
      </c>
      <c r="O35" s="20" t="str">
        <f aca="false">IF(AND((5*7+4-WEEKDAY(DATE($V$1,10,1),2)+1)&gt;=1,(5*7+4-WEEKDAY(DATE($V$1,10,1),2)+1)&lt;=DAY(EOMONTH(DATE($V$1,10,1),0))),(5*7+4-WEEKDAY(DATE($V$1,10,1),2)+1),"")</f>
        <v/>
      </c>
      <c r="P35" s="20" t="str">
        <f aca="false">IF(AND((5*7+5-WEEKDAY(DATE($V$1,10,1),2)+1)&gt;=1,(5*7+5-WEEKDAY(DATE($V$1,10,1),2)+1)&lt;=DAY(EOMONTH(DATE($V$1,10,1),0))),(5*7+5-WEEKDAY(DATE($V$1,10,1),2)+1),"")</f>
        <v/>
      </c>
      <c r="Q35" s="21" t="str">
        <f aca="false">IF(AND((5*7+6-WEEKDAY(DATE($V$1,10,1),2)+1)&gt;=1,(5*7+6-WEEKDAY(DATE($V$1,10,1),2)+1)&lt;=DAY(EOMONTH(DATE($V$1,10,1),0))),(5*7+6-WEEKDAY(DATE($V$1,10,1),2)+1),"")</f>
        <v/>
      </c>
      <c r="R35" s="22" t="str">
        <f aca="false">IF(AND((5*7+7-WEEKDAY(DATE($V$1,10,1),2)+1)&gt;=1,(5*7+7-WEEKDAY(DATE($V$1,10,1),2)+1)&lt;=DAY(EOMONTH(DATE($V$1,10,1),0))),(5*7+7-WEEKDAY(DATE($V$1,10,1),2)+1),"")</f>
        <v/>
      </c>
      <c r="T35" s="19" t="str">
        <f aca="false">IF(AND((5*7+7-WEEKDAY(DATE($V$1,11,1),2)+1)&gt;=1,(5*7+1-WEEKDAY(DATE($V$1,11,1),2)+1)&lt;=DAY(EOMONTH(DATE($V$1,11,1),0))),INT(((DATE($V$1,11,1)-WEEKDAY(DATE($V$1,11,1),2)+1+5*7)-DATE(YEAR((DATE($V$1,11,1)-WEEKDAY(DATE($V$1,11,1),2)+1+5*7)-WEEKDAY((DATE($V$1,11,1)-WEEKDAY(DATE($V$1,11,1),2)+1+5*7)-1)+4),1,3)+WEEKDAY(DATE(YEAR((DATE($V$1,11,1)-WEEKDAY(DATE($V$1,11,1),2)+1+5*7)-WEEKDAY((DATE($V$1,11,1)-WEEKDAY(DATE($V$1,11,1),2)+1+5*7)-1)+4),1,3))+5)/7),"")</f>
        <v/>
      </c>
      <c r="U35" s="20" t="str">
        <f aca="false">IF(AND((5*7+1-WEEKDAY(DATE($V$1,11,1),2)+1)&gt;=1,(5*7+1-WEEKDAY(DATE($V$1,11,1),2)+1)&lt;=DAY(EOMONTH(DATE($V$1,11,1),0))),(5*7+1-WEEKDAY(DATE($V$1,11,1),2)+1),"")</f>
        <v/>
      </c>
      <c r="V35" s="20" t="str">
        <f aca="false">IF(AND((5*7+2-WEEKDAY(DATE($V$1,11,1),2)+1)&gt;=1,(5*7+2-WEEKDAY(DATE($V$1,11,1),2)+1)&lt;=DAY(EOMONTH(DATE($V$1,11,1),0))),(5*7+2-WEEKDAY(DATE($V$1,11,1),2)+1),"")</f>
        <v/>
      </c>
      <c r="W35" s="20" t="str">
        <f aca="false">IF(AND((5*7+3-WEEKDAY(DATE($V$1,11,1),2)+1)&gt;=1,(5*7+3-WEEKDAY(DATE($V$1,11,1),2)+1)&lt;=DAY(EOMONTH(DATE($V$1,11,1),0))),(5*7+3-WEEKDAY(DATE($V$1,11,1),2)+1),"")</f>
        <v/>
      </c>
      <c r="X35" s="20" t="str">
        <f aca="false">IF(AND((5*7+4-WEEKDAY(DATE($V$1,11,1),2)+1)&gt;=1,(5*7+4-WEEKDAY(DATE($V$1,11,1),2)+1)&lt;=DAY(EOMONTH(DATE($V$1,11,1),0))),(5*7+4-WEEKDAY(DATE($V$1,11,1),2)+1),"")</f>
        <v/>
      </c>
      <c r="Y35" s="20" t="str">
        <f aca="false">IF(AND((5*7+5-WEEKDAY(DATE($V$1,11,1),2)+1)&gt;=1,(5*7+5-WEEKDAY(DATE($V$1,11,1),2)+1)&lt;=DAY(EOMONTH(DATE($V$1,11,1),0))),(5*7+5-WEEKDAY(DATE($V$1,11,1),2)+1),"")</f>
        <v/>
      </c>
      <c r="Z35" s="21" t="str">
        <f aca="false">IF(AND((5*7+6-WEEKDAY(DATE($V$1,11,1),2)+1)&gt;=1,(5*7+6-WEEKDAY(DATE($V$1,11,1),2)+1)&lt;=DAY(EOMONTH(DATE($V$1,11,1),0))),(5*7+6-WEEKDAY(DATE($V$1,11,1),2)+1),"")</f>
        <v/>
      </c>
      <c r="AA35" s="22" t="str">
        <f aca="false">IF(AND((5*7+7-WEEKDAY(DATE($V$1,11,1),2)+1)&gt;=1,(5*7+7-WEEKDAY(DATE($V$1,11,1),2)+1)&lt;=DAY(EOMONTH(DATE($V$1,11,1),0))),(5*7+7-WEEKDAY(DATE($V$1,11,1),2)+1),"")</f>
        <v/>
      </c>
      <c r="AC35" s="19" t="str">
        <f aca="false">IF(AND((5*7+7-WEEKDAY(DATE($V$1,12,1),2)+1)&gt;=1,(5*7+1-WEEKDAY(DATE($V$1,12,1),2)+1)&lt;=DAY(EOMONTH(DATE($V$1,12,1),0))),INT(((DATE($V$1,12,1)-WEEKDAY(DATE($V$1,12,1),2)+1+5*7)-DATE(YEAR((DATE($V$1,12,1)-WEEKDAY(DATE($V$1,12,1),2)+1+5*7)-WEEKDAY((DATE($V$1,12,1)-WEEKDAY(DATE($V$1,12,1),2)+1+5*7)-1)+4),1,3)+WEEKDAY(DATE(YEAR((DATE($V$1,12,1)-WEEKDAY(DATE($V$1,12,1),2)+1+5*7)-WEEKDAY((DATE($V$1,12,1)-WEEKDAY(DATE($V$1,12,1),2)+1+5*7)-1)+4),1,3))+5)/7),"")</f>
        <v/>
      </c>
      <c r="AD35" s="20" t="str">
        <f aca="false">IF(AND((5*7+1-WEEKDAY(DATE($V$1,12,1),2)+1)&gt;=1,(5*7+1-WEEKDAY(DATE($V$1,12,1),2)+1)&lt;=DAY(EOMONTH(DATE($V$1,12,1),0))),(5*7+1-WEEKDAY(DATE($V$1,12,1),2)+1),"")</f>
        <v/>
      </c>
      <c r="AE35" s="20" t="str">
        <f aca="false">IF(AND((5*7+2-WEEKDAY(DATE($V$1,12,1),2)+1)&gt;=1,(5*7+2-WEEKDAY(DATE($V$1,12,1),2)+1)&lt;=DAY(EOMONTH(DATE($V$1,12,1),0))),(5*7+2-WEEKDAY(DATE($V$1,12,1),2)+1),"")</f>
        <v/>
      </c>
      <c r="AF35" s="20" t="str">
        <f aca="false">IF(AND((5*7+3-WEEKDAY(DATE($V$1,12,1),2)+1)&gt;=1,(5*7+3-WEEKDAY(DATE($V$1,12,1),2)+1)&lt;=DAY(EOMONTH(DATE($V$1,12,1),0))),(5*7+3-WEEKDAY(DATE($V$1,12,1),2)+1),"")</f>
        <v/>
      </c>
      <c r="AG35" s="20" t="str">
        <f aca="false">IF(AND((5*7+4-WEEKDAY(DATE($V$1,12,1),2)+1)&gt;=1,(5*7+4-WEEKDAY(DATE($V$1,12,1),2)+1)&lt;=DAY(EOMONTH(DATE($V$1,12,1),0))),(5*7+4-WEEKDAY(DATE($V$1,12,1),2)+1),"")</f>
        <v/>
      </c>
      <c r="AH35" s="20" t="str">
        <f aca="false">IF(AND((5*7+5-WEEKDAY(DATE($V$1,12,1),2)+1)&gt;=1,(5*7+5-WEEKDAY(DATE($V$1,12,1),2)+1)&lt;=DAY(EOMONTH(DATE($V$1,12,1),0))),(5*7+5-WEEKDAY(DATE($V$1,12,1),2)+1),"")</f>
        <v/>
      </c>
      <c r="AI35" s="21" t="str">
        <f aca="false">IF(AND((5*7+6-WEEKDAY(DATE($V$1,12,1),2)+1)&gt;=1,(5*7+6-WEEKDAY(DATE($V$1,12,1),2)+1)&lt;=DAY(EOMONTH(DATE($V$1,12,1),0))),(5*7+6-WEEKDAY(DATE($V$1,12,1),2)+1),"")</f>
        <v/>
      </c>
      <c r="AJ35" s="22" t="str">
        <f aca="false">IF(AND((5*7+7-WEEKDAY(DATE($V$1,12,1),2)+1)&gt;=1,(5*7+7-WEEKDAY(DATE($V$1,12,1),2)+1)&lt;=DAY(EOMONTH(DATE($V$1,12,1),0))),(5*7+7-WEEKDAY(DATE($V$1,12,1),2)+1),"")</f>
        <v/>
      </c>
    </row>
    <row r="37" customFormat="false" ht="15" hidden="false" customHeight="false" outlineLevel="0" collapsed="false">
      <c r="B37" s="23" t="s">
        <v>32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</sheetData>
  <mergeCells count="25">
    <mergeCell ref="C1:R1"/>
    <mergeCell ref="V1:AJ3"/>
    <mergeCell ref="C2:R2"/>
    <mergeCell ref="B5:I5"/>
    <mergeCell ref="K5:R5"/>
    <mergeCell ref="T5:AA5"/>
    <mergeCell ref="AC5:AJ5"/>
    <mergeCell ref="B6:I6"/>
    <mergeCell ref="K6:R6"/>
    <mergeCell ref="T6:AA6"/>
    <mergeCell ref="AC6:AJ6"/>
    <mergeCell ref="AC8:AJ8"/>
    <mergeCell ref="B10:I10"/>
    <mergeCell ref="K10:R10"/>
    <mergeCell ref="T10:AA10"/>
    <mergeCell ref="AC10:AJ10"/>
    <mergeCell ref="B19:I19"/>
    <mergeCell ref="K19:R19"/>
    <mergeCell ref="T19:AA19"/>
    <mergeCell ref="AC19:AJ19"/>
    <mergeCell ref="B28:I28"/>
    <mergeCell ref="K28:R28"/>
    <mergeCell ref="T28:AA28"/>
    <mergeCell ref="AC28:AJ28"/>
    <mergeCell ref="B37:AJ37"/>
  </mergeCells>
  <conditionalFormatting sqref="C12:I17">
    <cfRule type="expression" priority="2" aboveAverage="0" equalAverage="0" bottom="0" percent="0" rank="0" text="" dxfId="0">
      <formula>AND(ISNUMBER(C12),DATE($V$1,1,C12)=TODAY())</formula>
    </cfRule>
    <cfRule type="expression" priority="3" aboveAverage="0" equalAverage="0" bottom="0" percent="0" rank="0" text="" dxfId="1">
      <formula>AND(ISNUMBER(C12),COUNTIFS('Termine &amp; Feiertage'!$A$5:$A$300,DATE($V$1,1,C12),'Termine &amp; Feiertage'!$B$5:$B$300,"Feiertag")&gt;0)</formula>
    </cfRule>
    <cfRule type="expression" priority="4" aboveAverage="0" equalAverage="0" bottom="0" percent="0" rank="0" text="" dxfId="2">
      <formula>AND(ISNUMBER(C12),COUNTIFS('Termine &amp; Feiertage'!$A$5:$A$300,DATE($V$1,1,C12),'Termine &amp; Feiertage'!$B$5:$B$300,"&lt;&gt;Feiertag")&gt;0)</formula>
    </cfRule>
  </conditionalFormatting>
  <conditionalFormatting sqref="L12:R17">
    <cfRule type="expression" priority="5" aboveAverage="0" equalAverage="0" bottom="0" percent="0" rank="0" text="" dxfId="0">
      <formula>AND(ISNUMBER(L12),DATE($V$1,2,L12)=TODAY())</formula>
    </cfRule>
    <cfRule type="expression" priority="6" aboveAverage="0" equalAverage="0" bottom="0" percent="0" rank="0" text="" dxfId="1">
      <formula>AND(ISNUMBER(L12),COUNTIFS('Termine &amp; Feiertage'!$A$5:$A$300,DATE($V$1,2,L12),'Termine &amp; Feiertage'!$B$5:$B$300,"Feiertag")&gt;0)</formula>
    </cfRule>
    <cfRule type="expression" priority="7" aboveAverage="0" equalAverage="0" bottom="0" percent="0" rank="0" text="" dxfId="2">
      <formula>AND(ISNUMBER(L12),COUNTIFS('Termine &amp; Feiertage'!$A$5:$A$300,DATE($V$1,2,L12),'Termine &amp; Feiertage'!$B$5:$B$300,"&lt;&gt;Feiertag")&gt;0)</formula>
    </cfRule>
  </conditionalFormatting>
  <conditionalFormatting sqref="U12:AA17">
    <cfRule type="expression" priority="8" aboveAverage="0" equalAverage="0" bottom="0" percent="0" rank="0" text="" dxfId="0">
      <formula>AND(ISNUMBER(U12),DATE($V$1,3,U12)=TODAY())</formula>
    </cfRule>
    <cfRule type="expression" priority="9" aboveAverage="0" equalAverage="0" bottom="0" percent="0" rank="0" text="" dxfId="1">
      <formula>AND(ISNUMBER(U12),COUNTIFS('Termine &amp; Feiertage'!$A$5:$A$300,DATE($V$1,3,U12),'Termine &amp; Feiertage'!$B$5:$B$300,"Feiertag")&gt;0)</formula>
    </cfRule>
    <cfRule type="expression" priority="10" aboveAverage="0" equalAverage="0" bottom="0" percent="0" rank="0" text="" dxfId="2">
      <formula>AND(ISNUMBER(U12),COUNTIFS('Termine &amp; Feiertage'!$A$5:$A$300,DATE($V$1,3,U12),'Termine &amp; Feiertage'!$B$5:$B$300,"&lt;&gt;Feiertag")&gt;0)</formula>
    </cfRule>
  </conditionalFormatting>
  <conditionalFormatting sqref="AD12:AJ17">
    <cfRule type="expression" priority="11" aboveAverage="0" equalAverage="0" bottom="0" percent="0" rank="0" text="" dxfId="0">
      <formula>AND(ISNUMBER(AD12),DATE($V$1,4,AD12)=TODAY())</formula>
    </cfRule>
    <cfRule type="expression" priority="12" aboveAverage="0" equalAverage="0" bottom="0" percent="0" rank="0" text="" dxfId="1">
      <formula>AND(ISNUMBER(AD12),COUNTIFS('Termine &amp; Feiertage'!$A$5:$A$300,DATE($V$1,4,AD12),'Termine &amp; Feiertage'!$B$5:$B$300,"Feiertag")&gt;0)</formula>
    </cfRule>
    <cfRule type="expression" priority="13" aboveAverage="0" equalAverage="0" bottom="0" percent="0" rank="0" text="" dxfId="2">
      <formula>AND(ISNUMBER(AD12),COUNTIFS('Termine &amp; Feiertage'!$A$5:$A$300,DATE($V$1,4,AD12),'Termine &amp; Feiertage'!$B$5:$B$300,"&lt;&gt;Feiertag")&gt;0)</formula>
    </cfRule>
  </conditionalFormatting>
  <conditionalFormatting sqref="C21:I26">
    <cfRule type="expression" priority="14" aboveAverage="0" equalAverage="0" bottom="0" percent="0" rank="0" text="" dxfId="0">
      <formula>AND(ISNUMBER(C21),DATE($V$1,5,C21)=TODAY())</formula>
    </cfRule>
    <cfRule type="expression" priority="15" aboveAverage="0" equalAverage="0" bottom="0" percent="0" rank="0" text="" dxfId="1">
      <formula>AND(ISNUMBER(C21),COUNTIFS('Termine &amp; Feiertage'!$A$5:$A$300,DATE($V$1,5,C21),'Termine &amp; Feiertage'!$B$5:$B$300,"Feiertag")&gt;0)</formula>
    </cfRule>
    <cfRule type="expression" priority="16" aboveAverage="0" equalAverage="0" bottom="0" percent="0" rank="0" text="" dxfId="2">
      <formula>AND(ISNUMBER(C21),COUNTIFS('Termine &amp; Feiertage'!$A$5:$A$300,DATE($V$1,5,C21),'Termine &amp; Feiertage'!$B$5:$B$300,"&lt;&gt;Feiertag")&gt;0)</formula>
    </cfRule>
  </conditionalFormatting>
  <conditionalFormatting sqref="L21:R26">
    <cfRule type="expression" priority="17" aboveAverage="0" equalAverage="0" bottom="0" percent="0" rank="0" text="" dxfId="0">
      <formula>AND(ISNUMBER(L21),DATE($V$1,6,L21)=TODAY())</formula>
    </cfRule>
    <cfRule type="expression" priority="18" aboveAverage="0" equalAverage="0" bottom="0" percent="0" rank="0" text="" dxfId="1">
      <formula>AND(ISNUMBER(L21),COUNTIFS('Termine &amp; Feiertage'!$A$5:$A$300,DATE($V$1,6,L21),'Termine &amp; Feiertage'!$B$5:$B$300,"Feiertag")&gt;0)</formula>
    </cfRule>
    <cfRule type="expression" priority="19" aboveAverage="0" equalAverage="0" bottom="0" percent="0" rank="0" text="" dxfId="2">
      <formula>AND(ISNUMBER(L21),COUNTIFS('Termine &amp; Feiertage'!$A$5:$A$300,DATE($V$1,6,L21),'Termine &amp; Feiertage'!$B$5:$B$300,"&lt;&gt;Feiertag")&gt;0)</formula>
    </cfRule>
  </conditionalFormatting>
  <conditionalFormatting sqref="U21:AA26">
    <cfRule type="expression" priority="20" aboveAverage="0" equalAverage="0" bottom="0" percent="0" rank="0" text="" dxfId="0">
      <formula>AND(ISNUMBER(U21),DATE($V$1,7,U21)=TODAY())</formula>
    </cfRule>
    <cfRule type="expression" priority="21" aboveAverage="0" equalAverage="0" bottom="0" percent="0" rank="0" text="" dxfId="1">
      <formula>AND(ISNUMBER(U21),COUNTIFS('Termine &amp; Feiertage'!$A$5:$A$300,DATE($V$1,7,U21),'Termine &amp; Feiertage'!$B$5:$B$300,"Feiertag")&gt;0)</formula>
    </cfRule>
    <cfRule type="expression" priority="22" aboveAverage="0" equalAverage="0" bottom="0" percent="0" rank="0" text="" dxfId="2">
      <formula>AND(ISNUMBER(U21),COUNTIFS('Termine &amp; Feiertage'!$A$5:$A$300,DATE($V$1,7,U21),'Termine &amp; Feiertage'!$B$5:$B$300,"&lt;&gt;Feiertag")&gt;0)</formula>
    </cfRule>
  </conditionalFormatting>
  <conditionalFormatting sqref="AD21:AJ26">
    <cfRule type="expression" priority="23" aboveAverage="0" equalAverage="0" bottom="0" percent="0" rank="0" text="" dxfId="0">
      <formula>AND(ISNUMBER(AD21),DATE($V$1,8,AD21)=TODAY())</formula>
    </cfRule>
    <cfRule type="expression" priority="24" aboveAverage="0" equalAverage="0" bottom="0" percent="0" rank="0" text="" dxfId="1">
      <formula>AND(ISNUMBER(AD21),COUNTIFS('Termine &amp; Feiertage'!$A$5:$A$300,DATE($V$1,8,AD21),'Termine &amp; Feiertage'!$B$5:$B$300,"Feiertag")&gt;0)</formula>
    </cfRule>
    <cfRule type="expression" priority="25" aboveAverage="0" equalAverage="0" bottom="0" percent="0" rank="0" text="" dxfId="2">
      <formula>AND(ISNUMBER(AD21),COUNTIFS('Termine &amp; Feiertage'!$A$5:$A$300,DATE($V$1,8,AD21),'Termine &amp; Feiertage'!$B$5:$B$300,"&lt;&gt;Feiertag")&gt;0)</formula>
    </cfRule>
  </conditionalFormatting>
  <conditionalFormatting sqref="C30:I35">
    <cfRule type="expression" priority="26" aboveAverage="0" equalAverage="0" bottom="0" percent="0" rank="0" text="" dxfId="0">
      <formula>AND(ISNUMBER(C30),DATE($V$1,9,C30)=TODAY())</formula>
    </cfRule>
    <cfRule type="expression" priority="27" aboveAverage="0" equalAverage="0" bottom="0" percent="0" rank="0" text="" dxfId="1">
      <formula>AND(ISNUMBER(C30),COUNTIFS('Termine &amp; Feiertage'!$A$5:$A$300,DATE($V$1,9,C30),'Termine &amp; Feiertage'!$B$5:$B$300,"Feiertag")&gt;0)</formula>
    </cfRule>
    <cfRule type="expression" priority="28" aboveAverage="0" equalAverage="0" bottom="0" percent="0" rank="0" text="" dxfId="2">
      <formula>AND(ISNUMBER(C30),COUNTIFS('Termine &amp; Feiertage'!$A$5:$A$300,DATE($V$1,9,C30),'Termine &amp; Feiertage'!$B$5:$B$300,"&lt;&gt;Feiertag")&gt;0)</formula>
    </cfRule>
  </conditionalFormatting>
  <conditionalFormatting sqref="L30:R35">
    <cfRule type="expression" priority="29" aboveAverage="0" equalAverage="0" bottom="0" percent="0" rank="0" text="" dxfId="0">
      <formula>AND(ISNUMBER(L30),DATE($V$1,10,L30)=TODAY())</formula>
    </cfRule>
    <cfRule type="expression" priority="30" aboveAverage="0" equalAverage="0" bottom="0" percent="0" rank="0" text="" dxfId="1">
      <formula>AND(ISNUMBER(L30),COUNTIFS('Termine &amp; Feiertage'!$A$5:$A$300,DATE($V$1,10,L30),'Termine &amp; Feiertage'!$B$5:$B$300,"Feiertag")&gt;0)</formula>
    </cfRule>
    <cfRule type="expression" priority="31" aboveAverage="0" equalAverage="0" bottom="0" percent="0" rank="0" text="" dxfId="2">
      <formula>AND(ISNUMBER(L30),COUNTIFS('Termine &amp; Feiertage'!$A$5:$A$300,DATE($V$1,10,L30),'Termine &amp; Feiertage'!$B$5:$B$300,"&lt;&gt;Feiertag")&gt;0)</formula>
    </cfRule>
  </conditionalFormatting>
  <conditionalFormatting sqref="U30:AA35">
    <cfRule type="expression" priority="32" aboveAverage="0" equalAverage="0" bottom="0" percent="0" rank="0" text="" dxfId="0">
      <formula>AND(ISNUMBER(U30),DATE($V$1,11,U30)=TODAY())</formula>
    </cfRule>
    <cfRule type="expression" priority="33" aboveAverage="0" equalAverage="0" bottom="0" percent="0" rank="0" text="" dxfId="1">
      <formula>AND(ISNUMBER(U30),COUNTIFS('Termine &amp; Feiertage'!$A$5:$A$300,DATE($V$1,11,U30),'Termine &amp; Feiertage'!$B$5:$B$300,"Feiertag")&gt;0)</formula>
    </cfRule>
    <cfRule type="expression" priority="34" aboveAverage="0" equalAverage="0" bottom="0" percent="0" rank="0" text="" dxfId="2">
      <formula>AND(ISNUMBER(U30),COUNTIFS('Termine &amp; Feiertage'!$A$5:$A$300,DATE($V$1,11,U30),'Termine &amp; Feiertage'!$B$5:$B$300,"&lt;&gt;Feiertag")&gt;0)</formula>
    </cfRule>
  </conditionalFormatting>
  <conditionalFormatting sqref="AD30:AJ35">
    <cfRule type="expression" priority="35" aboveAverage="0" equalAverage="0" bottom="0" percent="0" rank="0" text="" dxfId="0">
      <formula>AND(ISNUMBER(AD30),DATE($V$1,12,AD30)=TODAY())</formula>
    </cfRule>
    <cfRule type="expression" priority="36" aboveAverage="0" equalAverage="0" bottom="0" percent="0" rank="0" text="" dxfId="1">
      <formula>AND(ISNUMBER(AD30),COUNTIFS('Termine &amp; Feiertage'!$A$5:$A$300,DATE($V$1,12,AD30),'Termine &amp; Feiertage'!$B$5:$B$300,"Feiertag")&gt;0)</formula>
    </cfRule>
    <cfRule type="expression" priority="37" aboveAverage="0" equalAverage="0" bottom="0" percent="0" rank="0" text="" dxfId="2">
      <formula>AND(ISNUMBER(AD30),COUNTIFS('Termine &amp; Feiertage'!$A$5:$A$300,DATE($V$1,12,AD30),'Termine &amp; Feiertage'!$B$5:$B$300,"&lt;&gt;Feiertag")&gt;0)</formula>
    </cfRule>
  </conditionalFormatting>
  <dataValidations count="1">
    <dataValidation allowBlank="false" error="Bitte ein Jahr zwischen 2000 und 2100 eingeben." errorStyle="stop" errorTitle="Ungültiges Jahr" operator="between" showDropDown="false" showErrorMessage="false" showInputMessage="false" sqref="V1" type="whole">
      <formula1>2000</formula1>
      <formula2>2100</formula2>
    </dataValidation>
  </dataValidations>
  <printOptions headings="false" gridLines="false" gridLinesSet="true" horizontalCentered="false" verticalCentered="false"/>
  <pageMargins left="0.3" right="0.3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32"/>
    <col collapsed="false" customWidth="true" hidden="false" outlineLevel="0" max="4" min="4" style="0" width="28"/>
    <col collapsed="false" customWidth="true" hidden="false" outlineLevel="0" max="5" min="5" style="0" width="13"/>
    <col collapsed="false" customWidth="true" hidden="true" outlineLevel="0" max="6" min="6" style="0" width="13"/>
  </cols>
  <sheetData>
    <row r="1" customFormat="false" ht="30" hidden="false" customHeight="true" outlineLevel="0" collapsed="false">
      <c r="A1" s="24" t="s">
        <v>33</v>
      </c>
      <c r="B1" s="24"/>
      <c r="C1" s="24"/>
      <c r="D1" s="24"/>
      <c r="E1" s="24"/>
    </row>
    <row r="2" customFormat="false" ht="18" hidden="false" customHeight="true" outlineLevel="0" collapsed="false">
      <c r="A2" s="25" t="s">
        <v>34</v>
      </c>
      <c r="B2" s="25"/>
      <c r="C2" s="25"/>
      <c r="D2" s="25"/>
      <c r="E2" s="25"/>
    </row>
    <row r="3" customFormat="false" ht="15" hidden="false" customHeight="false" outlineLevel="0" collapsed="false">
      <c r="A3" s="23" t="s">
        <v>35</v>
      </c>
      <c r="B3" s="23"/>
      <c r="C3" s="23"/>
      <c r="D3" s="23"/>
      <c r="E3" s="23"/>
    </row>
    <row r="4" customFormat="false" ht="19.5" hidden="false" customHeight="true" outlineLevel="0" collapsed="false">
      <c r="A4" s="26" t="s">
        <v>36</v>
      </c>
      <c r="B4" s="26" t="s">
        <v>37</v>
      </c>
      <c r="C4" s="27" t="s">
        <v>38</v>
      </c>
      <c r="D4" s="27" t="s">
        <v>39</v>
      </c>
      <c r="E4" s="26" t="s">
        <v>40</v>
      </c>
    </row>
    <row r="5" customFormat="false" ht="15" hidden="false" customHeight="false" outlineLevel="0" collapsed="false">
      <c r="A5" s="28" t="n">
        <v>46388</v>
      </c>
      <c r="B5" s="29" t="s">
        <v>7</v>
      </c>
      <c r="C5" s="30" t="s">
        <v>41</v>
      </c>
      <c r="D5" s="30"/>
      <c r="E5" s="31"/>
      <c r="F5" s="32" t="n">
        <f aca="false">IF($B5="Feiertag",$A5,"")</f>
        <v>46388</v>
      </c>
    </row>
    <row r="6" customFormat="false" ht="15" hidden="false" customHeight="false" outlineLevel="0" collapsed="false">
      <c r="A6" s="33" t="n">
        <v>46472</v>
      </c>
      <c r="B6" s="34" t="s">
        <v>7</v>
      </c>
      <c r="C6" s="35" t="s">
        <v>42</v>
      </c>
      <c r="D6" s="35"/>
      <c r="E6" s="36"/>
      <c r="F6" s="37" t="n">
        <f aca="false">IF($B6="Feiertag",$A6,"")</f>
        <v>46472</v>
      </c>
    </row>
    <row r="7" customFormat="false" ht="15" hidden="false" customHeight="false" outlineLevel="0" collapsed="false">
      <c r="A7" s="28" t="n">
        <v>46475</v>
      </c>
      <c r="B7" s="29" t="s">
        <v>7</v>
      </c>
      <c r="C7" s="30" t="s">
        <v>43</v>
      </c>
      <c r="D7" s="30"/>
      <c r="E7" s="31"/>
      <c r="F7" s="32" t="n">
        <f aca="false">IF($B7="Feiertag",$A7,"")</f>
        <v>46475</v>
      </c>
    </row>
    <row r="8" customFormat="false" ht="15" hidden="false" customHeight="false" outlineLevel="0" collapsed="false">
      <c r="A8" s="33" t="n">
        <v>46508</v>
      </c>
      <c r="B8" s="34" t="s">
        <v>7</v>
      </c>
      <c r="C8" s="35" t="s">
        <v>44</v>
      </c>
      <c r="D8" s="35"/>
      <c r="E8" s="36"/>
      <c r="F8" s="37" t="n">
        <f aca="false">IF($B8="Feiertag",$A8,"")</f>
        <v>46508</v>
      </c>
    </row>
    <row r="9" customFormat="false" ht="15" hidden="false" customHeight="false" outlineLevel="0" collapsed="false">
      <c r="A9" s="28" t="n">
        <v>46513</v>
      </c>
      <c r="B9" s="29" t="s">
        <v>7</v>
      </c>
      <c r="C9" s="30" t="s">
        <v>45</v>
      </c>
      <c r="D9" s="30"/>
      <c r="E9" s="31"/>
      <c r="F9" s="32" t="n">
        <f aca="false">IF($B9="Feiertag",$A9,"")</f>
        <v>46513</v>
      </c>
    </row>
    <row r="10" customFormat="false" ht="15" hidden="false" customHeight="false" outlineLevel="0" collapsed="false">
      <c r="A10" s="33" t="n">
        <v>46524</v>
      </c>
      <c r="B10" s="34" t="s">
        <v>7</v>
      </c>
      <c r="C10" s="35" t="s">
        <v>46</v>
      </c>
      <c r="D10" s="35"/>
      <c r="E10" s="36"/>
      <c r="F10" s="37" t="n">
        <f aca="false">IF($B10="Feiertag",$A10,"")</f>
        <v>46524</v>
      </c>
    </row>
    <row r="11" customFormat="false" ht="15" hidden="false" customHeight="false" outlineLevel="0" collapsed="false">
      <c r="A11" s="28" t="n">
        <v>46663</v>
      </c>
      <c r="B11" s="29" t="s">
        <v>7</v>
      </c>
      <c r="C11" s="30" t="s">
        <v>47</v>
      </c>
      <c r="D11" s="30"/>
      <c r="E11" s="31"/>
      <c r="F11" s="32" t="n">
        <f aca="false">IF($B11="Feiertag",$A11,"")</f>
        <v>46663</v>
      </c>
    </row>
    <row r="12" customFormat="false" ht="15" hidden="false" customHeight="false" outlineLevel="0" collapsed="false">
      <c r="A12" s="33" t="n">
        <v>46746</v>
      </c>
      <c r="B12" s="34" t="s">
        <v>7</v>
      </c>
      <c r="C12" s="35" t="s">
        <v>48</v>
      </c>
      <c r="D12" s="35"/>
      <c r="E12" s="36"/>
      <c r="F12" s="37" t="n">
        <f aca="false">IF($B12="Feiertag",$A12,"")</f>
        <v>46746</v>
      </c>
    </row>
    <row r="13" customFormat="false" ht="15" hidden="false" customHeight="false" outlineLevel="0" collapsed="false">
      <c r="A13" s="28" t="n">
        <v>46747</v>
      </c>
      <c r="B13" s="29" t="s">
        <v>7</v>
      </c>
      <c r="C13" s="30" t="s">
        <v>49</v>
      </c>
      <c r="D13" s="30"/>
      <c r="E13" s="31"/>
      <c r="F13" s="32" t="n">
        <f aca="false">IF($B13="Feiertag",$A13,"")</f>
        <v>46747</v>
      </c>
    </row>
    <row r="14" customFormat="false" ht="15" hidden="false" customHeight="false" outlineLevel="0" collapsed="false">
      <c r="A14" s="33" t="n">
        <v>46398</v>
      </c>
      <c r="B14" s="34" t="s">
        <v>50</v>
      </c>
      <c r="C14" s="35" t="s">
        <v>51</v>
      </c>
      <c r="D14" s="35" t="s">
        <v>52</v>
      </c>
      <c r="E14" s="36" t="s">
        <v>53</v>
      </c>
      <c r="F14" s="37" t="str">
        <f aca="false">IF($B14="Feiertag",$A14,"")</f>
        <v/>
      </c>
    </row>
    <row r="15" customFormat="false" ht="15" hidden="false" customHeight="false" outlineLevel="0" collapsed="false">
      <c r="A15" s="28" t="n">
        <v>46423</v>
      </c>
      <c r="B15" s="29" t="s">
        <v>54</v>
      </c>
      <c r="C15" s="30" t="s">
        <v>55</v>
      </c>
      <c r="D15" s="30"/>
      <c r="E15" s="31" t="s">
        <v>53</v>
      </c>
      <c r="F15" s="32" t="str">
        <f aca="false">IF($B15="Feiertag",$A15,"")</f>
        <v/>
      </c>
    </row>
    <row r="16" customFormat="false" ht="15" hidden="false" customHeight="false" outlineLevel="0" collapsed="false">
      <c r="A16" s="33" t="n">
        <v>46437</v>
      </c>
      <c r="B16" s="34" t="s">
        <v>56</v>
      </c>
      <c r="C16" s="35" t="s">
        <v>57</v>
      </c>
      <c r="D16" s="35"/>
      <c r="E16" s="36" t="s">
        <v>58</v>
      </c>
      <c r="F16" s="37" t="str">
        <f aca="false">IF($B16="Feiertag",$A16,"")</f>
        <v/>
      </c>
    </row>
    <row r="17" customFormat="false" ht="15" hidden="false" customHeight="false" outlineLevel="0" collapsed="false">
      <c r="A17" s="28" t="n">
        <v>46461</v>
      </c>
      <c r="B17" s="29" t="s">
        <v>50</v>
      </c>
      <c r="C17" s="30" t="s">
        <v>59</v>
      </c>
      <c r="D17" s="30" t="s">
        <v>60</v>
      </c>
      <c r="E17" s="31" t="s">
        <v>61</v>
      </c>
      <c r="F17" s="32" t="str">
        <f aca="false">IF($B17="Feiertag",$A17,"")</f>
        <v/>
      </c>
    </row>
    <row r="18" customFormat="false" ht="15" hidden="false" customHeight="false" outlineLevel="0" collapsed="false">
      <c r="A18" s="33" t="n">
        <v>46482</v>
      </c>
      <c r="B18" s="34" t="s">
        <v>62</v>
      </c>
      <c r="C18" s="35" t="s">
        <v>62</v>
      </c>
      <c r="D18" s="35" t="s">
        <v>63</v>
      </c>
      <c r="E18" s="36"/>
      <c r="F18" s="37" t="str">
        <f aca="false">IF($B18="Feiertag",$A18,"")</f>
        <v/>
      </c>
    </row>
    <row r="19" customFormat="false" ht="15" hidden="false" customHeight="false" outlineLevel="0" collapsed="false">
      <c r="A19" s="28" t="n">
        <v>46483</v>
      </c>
      <c r="B19" s="29" t="s">
        <v>62</v>
      </c>
      <c r="C19" s="30" t="s">
        <v>62</v>
      </c>
      <c r="D19" s="30" t="s">
        <v>63</v>
      </c>
      <c r="E19" s="31"/>
      <c r="F19" s="32" t="str">
        <f aca="false">IF($B19="Feiertag",$A19,"")</f>
        <v/>
      </c>
    </row>
    <row r="20" customFormat="false" ht="15" hidden="false" customHeight="false" outlineLevel="0" collapsed="false">
      <c r="A20" s="33" t="n">
        <v>46484</v>
      </c>
      <c r="B20" s="34" t="s">
        <v>62</v>
      </c>
      <c r="C20" s="35" t="s">
        <v>62</v>
      </c>
      <c r="D20" s="35" t="s">
        <v>63</v>
      </c>
      <c r="E20" s="36"/>
      <c r="F20" s="37" t="str">
        <f aca="false">IF($B20="Feiertag",$A20,"")</f>
        <v/>
      </c>
    </row>
    <row r="21" customFormat="false" ht="15" hidden="false" customHeight="false" outlineLevel="0" collapsed="false">
      <c r="A21" s="28" t="n">
        <v>46485</v>
      </c>
      <c r="B21" s="29" t="s">
        <v>62</v>
      </c>
      <c r="C21" s="30" t="s">
        <v>62</v>
      </c>
      <c r="D21" s="30" t="s">
        <v>63</v>
      </c>
      <c r="E21" s="31"/>
      <c r="F21" s="32" t="str">
        <f aca="false">IF($B21="Feiertag",$A21,"")</f>
        <v/>
      </c>
    </row>
    <row r="22" customFormat="false" ht="15" hidden="false" customHeight="false" outlineLevel="0" collapsed="false">
      <c r="A22" s="33" t="n">
        <v>46486</v>
      </c>
      <c r="B22" s="34" t="s">
        <v>62</v>
      </c>
      <c r="C22" s="35" t="s">
        <v>62</v>
      </c>
      <c r="D22" s="35" t="s">
        <v>63</v>
      </c>
      <c r="E22" s="36"/>
      <c r="F22" s="37" t="str">
        <f aca="false">IF($B22="Feiertag",$A22,"")</f>
        <v/>
      </c>
    </row>
    <row r="23" customFormat="false" ht="15" hidden="false" customHeight="false" outlineLevel="0" collapsed="false">
      <c r="A23" s="28" t="n">
        <v>46507</v>
      </c>
      <c r="B23" s="29" t="s">
        <v>50</v>
      </c>
      <c r="C23" s="30" t="s">
        <v>64</v>
      </c>
      <c r="D23" s="30"/>
      <c r="E23" s="31" t="s">
        <v>61</v>
      </c>
      <c r="F23" s="32" t="str">
        <f aca="false">IF($B23="Feiertag",$A23,"")</f>
        <v/>
      </c>
    </row>
    <row r="24" customFormat="false" ht="15" hidden="false" customHeight="false" outlineLevel="0" collapsed="false">
      <c r="A24" s="33" t="n">
        <v>46517</v>
      </c>
      <c r="B24" s="34" t="s">
        <v>50</v>
      </c>
      <c r="C24" s="35" t="s">
        <v>65</v>
      </c>
      <c r="D24" s="35" t="s">
        <v>66</v>
      </c>
      <c r="E24" s="36" t="s">
        <v>53</v>
      </c>
      <c r="F24" s="37" t="str">
        <f aca="false">IF($B24="Feiertag",$A24,"")</f>
        <v/>
      </c>
    </row>
    <row r="25" customFormat="false" ht="15" hidden="false" customHeight="false" outlineLevel="0" collapsed="false">
      <c r="A25" s="28" t="n">
        <v>46549</v>
      </c>
      <c r="B25" s="29" t="s">
        <v>54</v>
      </c>
      <c r="C25" s="30" t="s">
        <v>67</v>
      </c>
      <c r="D25" s="30"/>
      <c r="E25" s="31" t="s">
        <v>53</v>
      </c>
      <c r="F25" s="32" t="str">
        <f aca="false">IF($B25="Feiertag",$A25,"")</f>
        <v/>
      </c>
    </row>
    <row r="26" customFormat="false" ht="15" hidden="false" customHeight="false" outlineLevel="0" collapsed="false">
      <c r="A26" s="33" t="n">
        <v>46601</v>
      </c>
      <c r="B26" s="34" t="s">
        <v>62</v>
      </c>
      <c r="C26" s="35" t="s">
        <v>68</v>
      </c>
      <c r="D26" s="35"/>
      <c r="E26" s="36"/>
      <c r="F26" s="37" t="str">
        <f aca="false">IF($B26="Feiertag",$A26,"")</f>
        <v/>
      </c>
    </row>
    <row r="27" customFormat="false" ht="15" hidden="false" customHeight="false" outlineLevel="0" collapsed="false">
      <c r="A27" s="28" t="n">
        <v>46602</v>
      </c>
      <c r="B27" s="29" t="s">
        <v>62</v>
      </c>
      <c r="C27" s="30" t="s">
        <v>68</v>
      </c>
      <c r="D27" s="30"/>
      <c r="E27" s="31"/>
      <c r="F27" s="32" t="str">
        <f aca="false">IF($B27="Feiertag",$A27,"")</f>
        <v/>
      </c>
    </row>
    <row r="28" customFormat="false" ht="15" hidden="false" customHeight="false" outlineLevel="0" collapsed="false">
      <c r="A28" s="33" t="n">
        <v>46603</v>
      </c>
      <c r="B28" s="34" t="s">
        <v>62</v>
      </c>
      <c r="C28" s="35" t="s">
        <v>68</v>
      </c>
      <c r="D28" s="35"/>
      <c r="E28" s="36"/>
      <c r="F28" s="37" t="str">
        <f aca="false">IF($B28="Feiertag",$A28,"")</f>
        <v/>
      </c>
    </row>
    <row r="29" customFormat="false" ht="15" hidden="false" customHeight="false" outlineLevel="0" collapsed="false">
      <c r="A29" s="28" t="n">
        <v>46604</v>
      </c>
      <c r="B29" s="29" t="s">
        <v>62</v>
      </c>
      <c r="C29" s="30" t="s">
        <v>68</v>
      </c>
      <c r="D29" s="30"/>
      <c r="E29" s="31"/>
      <c r="F29" s="32" t="str">
        <f aca="false">IF($B29="Feiertag",$A29,"")</f>
        <v/>
      </c>
    </row>
    <row r="30" customFormat="false" ht="15" hidden="false" customHeight="false" outlineLevel="0" collapsed="false">
      <c r="A30" s="33" t="n">
        <v>46605</v>
      </c>
      <c r="B30" s="34" t="s">
        <v>62</v>
      </c>
      <c r="C30" s="35" t="s">
        <v>68</v>
      </c>
      <c r="D30" s="35"/>
      <c r="E30" s="36"/>
      <c r="F30" s="37" t="str">
        <f aca="false">IF($B30="Feiertag",$A30,"")</f>
        <v/>
      </c>
    </row>
    <row r="31" customFormat="false" ht="15" hidden="false" customHeight="false" outlineLevel="0" collapsed="false">
      <c r="A31" s="28" t="n">
        <v>46608</v>
      </c>
      <c r="B31" s="29" t="s">
        <v>62</v>
      </c>
      <c r="C31" s="30" t="s">
        <v>68</v>
      </c>
      <c r="D31" s="30"/>
      <c r="E31" s="31"/>
      <c r="F31" s="32" t="str">
        <f aca="false">IF($B31="Feiertag",$A31,"")</f>
        <v/>
      </c>
    </row>
    <row r="32" customFormat="false" ht="15" hidden="false" customHeight="false" outlineLevel="0" collapsed="false">
      <c r="A32" s="33" t="n">
        <v>46609</v>
      </c>
      <c r="B32" s="34" t="s">
        <v>62</v>
      </c>
      <c r="C32" s="35" t="s">
        <v>68</v>
      </c>
      <c r="D32" s="35"/>
      <c r="E32" s="36"/>
      <c r="F32" s="37" t="str">
        <f aca="false">IF($B32="Feiertag",$A32,"")</f>
        <v/>
      </c>
    </row>
    <row r="33" customFormat="false" ht="15" hidden="false" customHeight="false" outlineLevel="0" collapsed="false">
      <c r="A33" s="28" t="n">
        <v>46610</v>
      </c>
      <c r="B33" s="29" t="s">
        <v>62</v>
      </c>
      <c r="C33" s="30" t="s">
        <v>68</v>
      </c>
      <c r="D33" s="30"/>
      <c r="E33" s="31"/>
      <c r="F33" s="32" t="str">
        <f aca="false">IF($B33="Feiertag",$A33,"")</f>
        <v/>
      </c>
    </row>
    <row r="34" customFormat="false" ht="15" hidden="false" customHeight="false" outlineLevel="0" collapsed="false">
      <c r="A34" s="33" t="n">
        <v>46611</v>
      </c>
      <c r="B34" s="34" t="s">
        <v>62</v>
      </c>
      <c r="C34" s="35" t="s">
        <v>68</v>
      </c>
      <c r="D34" s="35"/>
      <c r="E34" s="36"/>
      <c r="F34" s="37" t="str">
        <f aca="false">IF($B34="Feiertag",$A34,"")</f>
        <v/>
      </c>
    </row>
    <row r="35" customFormat="false" ht="15" hidden="false" customHeight="false" outlineLevel="0" collapsed="false">
      <c r="A35" s="28" t="n">
        <v>46612</v>
      </c>
      <c r="B35" s="29" t="s">
        <v>62</v>
      </c>
      <c r="C35" s="30" t="s">
        <v>68</v>
      </c>
      <c r="D35" s="30"/>
      <c r="E35" s="31"/>
      <c r="F35" s="32" t="str">
        <f aca="false">IF($B35="Feiertag",$A35,"")</f>
        <v/>
      </c>
    </row>
    <row r="36" customFormat="false" ht="15" hidden="false" customHeight="false" outlineLevel="0" collapsed="false">
      <c r="A36" s="33" t="n">
        <v>46650</v>
      </c>
      <c r="B36" s="34" t="s">
        <v>50</v>
      </c>
      <c r="C36" s="35" t="s">
        <v>69</v>
      </c>
      <c r="D36" s="35"/>
      <c r="E36" s="36" t="s">
        <v>61</v>
      </c>
      <c r="F36" s="37" t="str">
        <f aca="false">IF($B36="Feiertag",$A36,"")</f>
        <v/>
      </c>
    </row>
    <row r="37" customFormat="false" ht="15" hidden="false" customHeight="false" outlineLevel="0" collapsed="false">
      <c r="A37" s="28" t="n">
        <v>46668</v>
      </c>
      <c r="B37" s="29" t="s">
        <v>50</v>
      </c>
      <c r="C37" s="30" t="s">
        <v>70</v>
      </c>
      <c r="D37" s="30"/>
      <c r="E37" s="31" t="s">
        <v>61</v>
      </c>
      <c r="F37" s="32" t="str">
        <f aca="false">IF($B37="Feiertag",$A37,"")</f>
        <v/>
      </c>
    </row>
    <row r="38" customFormat="false" ht="15" hidden="false" customHeight="false" outlineLevel="0" collapsed="false">
      <c r="A38" s="33" t="n">
        <v>46703</v>
      </c>
      <c r="B38" s="34" t="s">
        <v>56</v>
      </c>
      <c r="C38" s="35" t="s">
        <v>57</v>
      </c>
      <c r="D38" s="35"/>
      <c r="E38" s="36" t="s">
        <v>58</v>
      </c>
      <c r="F38" s="37" t="str">
        <f aca="false">IF($B38="Feiertag",$A38,"")</f>
        <v/>
      </c>
    </row>
    <row r="39" customFormat="false" ht="15" hidden="false" customHeight="false" outlineLevel="0" collapsed="false">
      <c r="A39" s="28" t="n">
        <v>46717</v>
      </c>
      <c r="B39" s="29" t="s">
        <v>50</v>
      </c>
      <c r="C39" s="30" t="s">
        <v>71</v>
      </c>
      <c r="D39" s="30"/>
      <c r="E39" s="31" t="s">
        <v>61</v>
      </c>
      <c r="F39" s="32" t="str">
        <f aca="false">IF($B39="Feiertag",$A39,"")</f>
        <v/>
      </c>
    </row>
    <row r="40" customFormat="false" ht="15" hidden="false" customHeight="false" outlineLevel="0" collapsed="false">
      <c r="A40" s="33" t="n">
        <v>46731</v>
      </c>
      <c r="B40" s="34" t="s">
        <v>54</v>
      </c>
      <c r="C40" s="35" t="s">
        <v>72</v>
      </c>
      <c r="D40" s="35"/>
      <c r="E40" s="36" t="s">
        <v>53</v>
      </c>
      <c r="F40" s="37" t="str">
        <f aca="false">IF($B40="Feiertag",$A40,"")</f>
        <v/>
      </c>
    </row>
    <row r="41" customFormat="false" ht="15" hidden="false" customHeight="false" outlineLevel="0" collapsed="false">
      <c r="A41" s="28"/>
      <c r="B41" s="29"/>
      <c r="C41" s="30"/>
      <c r="D41" s="30"/>
      <c r="E41" s="31"/>
      <c r="F41" s="32" t="str">
        <f aca="false">IF($B41="Feiertag",$A41,"")</f>
        <v/>
      </c>
    </row>
    <row r="42" customFormat="false" ht="15" hidden="false" customHeight="false" outlineLevel="0" collapsed="false">
      <c r="A42" s="33"/>
      <c r="B42" s="34"/>
      <c r="C42" s="35"/>
      <c r="D42" s="35"/>
      <c r="E42" s="36"/>
      <c r="F42" s="37" t="str">
        <f aca="false">IF($B42="Feiertag",$A42,"")</f>
        <v/>
      </c>
    </row>
    <row r="43" customFormat="false" ht="15" hidden="false" customHeight="false" outlineLevel="0" collapsed="false">
      <c r="A43" s="28"/>
      <c r="B43" s="29"/>
      <c r="C43" s="30"/>
      <c r="D43" s="30"/>
      <c r="E43" s="31"/>
      <c r="F43" s="32" t="str">
        <f aca="false">IF($B43="Feiertag",$A43,"")</f>
        <v/>
      </c>
    </row>
    <row r="44" customFormat="false" ht="15" hidden="false" customHeight="false" outlineLevel="0" collapsed="false">
      <c r="A44" s="33"/>
      <c r="B44" s="34"/>
      <c r="C44" s="35"/>
      <c r="D44" s="35"/>
      <c r="E44" s="36"/>
      <c r="F44" s="37" t="str">
        <f aca="false">IF($B44="Feiertag",$A44,"")</f>
        <v/>
      </c>
    </row>
    <row r="45" customFormat="false" ht="15" hidden="false" customHeight="false" outlineLevel="0" collapsed="false">
      <c r="A45" s="28"/>
      <c r="B45" s="29"/>
      <c r="C45" s="30"/>
      <c r="D45" s="30"/>
      <c r="E45" s="31"/>
      <c r="F45" s="32" t="str">
        <f aca="false">IF($B45="Feiertag",$A45,"")</f>
        <v/>
      </c>
    </row>
    <row r="46" customFormat="false" ht="15" hidden="false" customHeight="false" outlineLevel="0" collapsed="false">
      <c r="A46" s="33"/>
      <c r="B46" s="34"/>
      <c r="C46" s="35"/>
      <c r="D46" s="35"/>
      <c r="E46" s="36"/>
      <c r="F46" s="37" t="str">
        <f aca="false">IF($B46="Feiertag",$A46,"")</f>
        <v/>
      </c>
    </row>
    <row r="47" customFormat="false" ht="15" hidden="false" customHeight="false" outlineLevel="0" collapsed="false">
      <c r="A47" s="28"/>
      <c r="B47" s="29"/>
      <c r="C47" s="30"/>
      <c r="D47" s="30"/>
      <c r="E47" s="31"/>
      <c r="F47" s="32" t="str">
        <f aca="false">IF($B47="Feiertag",$A47,"")</f>
        <v/>
      </c>
    </row>
    <row r="48" customFormat="false" ht="15" hidden="false" customHeight="false" outlineLevel="0" collapsed="false">
      <c r="A48" s="33"/>
      <c r="B48" s="34"/>
      <c r="C48" s="35"/>
      <c r="D48" s="35"/>
      <c r="E48" s="36"/>
      <c r="F48" s="37" t="str">
        <f aca="false">IF($B48="Feiertag",$A48,"")</f>
        <v/>
      </c>
    </row>
    <row r="50" customFormat="false" ht="15" hidden="false" customHeight="false" outlineLevel="0" collapsed="false">
      <c r="A50" s="23" t="s">
        <v>73</v>
      </c>
      <c r="B50" s="23"/>
      <c r="C50" s="23"/>
      <c r="D50" s="23"/>
      <c r="E50" s="23"/>
    </row>
  </sheetData>
  <mergeCells count="4">
    <mergeCell ref="A1:E1"/>
    <mergeCell ref="A2:E2"/>
    <mergeCell ref="A3:E3"/>
    <mergeCell ref="A50:E50"/>
  </mergeCells>
  <dataValidations count="2">
    <dataValidation allowBlank="true" errorStyle="stop" operator="between" showDropDown="false" showErrorMessage="false" showInputMessage="false" sqref="B5:B48" type="list">
      <formula1>"Feiertag,Termin,Geburtstag,Urlaub,Frist,Sonstiges"</formula1>
      <formula2>0</formula2>
    </dataValidation>
    <dataValidation allowBlank="true" errorStyle="stop" operator="between" showDropDown="false" showErrorMessage="false" showInputMessage="false" sqref="E5:E48" type="list">
      <formula1>"Hoch,Mittel,Niedrig"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2"/>
  </cols>
  <sheetData>
    <row r="1" customFormat="false" ht="30" hidden="false" customHeight="true" outlineLevel="0" collapsed="false">
      <c r="A1" s="38" t="s">
        <v>74</v>
      </c>
      <c r="B1" s="38"/>
      <c r="C1" s="38"/>
    </row>
    <row r="2" customFormat="false" ht="18" hidden="false" customHeight="true" outlineLevel="0" collapsed="false">
      <c r="A2" s="39" t="s">
        <v>75</v>
      </c>
      <c r="B2" s="39"/>
      <c r="C2" s="39"/>
    </row>
    <row r="4" customFormat="false" ht="19.5" hidden="false" customHeight="true" outlineLevel="0" collapsed="false">
      <c r="B4" s="40" t="s">
        <v>76</v>
      </c>
      <c r="C4" s="40"/>
    </row>
    <row r="5" customFormat="false" ht="15" hidden="false" customHeight="true" outlineLevel="0" collapsed="false">
      <c r="B5" s="41" t="s">
        <v>77</v>
      </c>
      <c r="C5" s="41"/>
    </row>
    <row r="6" customFormat="false" ht="15" hidden="false" customHeight="false" outlineLevel="0" collapsed="false">
      <c r="B6" s="41"/>
      <c r="C6" s="41"/>
    </row>
    <row r="8" customFormat="false" ht="19.5" hidden="false" customHeight="true" outlineLevel="0" collapsed="false">
      <c r="B8" s="40" t="s">
        <v>78</v>
      </c>
      <c r="C8" s="40"/>
    </row>
    <row r="9" customFormat="false" ht="18" hidden="false" customHeight="true" outlineLevel="0" collapsed="false">
      <c r="B9" s="42" t="s">
        <v>79</v>
      </c>
      <c r="C9" s="43" t="s">
        <v>80</v>
      </c>
    </row>
    <row r="10" customFormat="false" ht="18" hidden="false" customHeight="true" outlineLevel="0" collapsed="false">
      <c r="B10" s="42" t="s">
        <v>81</v>
      </c>
      <c r="C10" s="43" t="s">
        <v>82</v>
      </c>
    </row>
    <row r="11" customFormat="false" ht="18" hidden="false" customHeight="true" outlineLevel="0" collapsed="false">
      <c r="B11" s="42" t="s">
        <v>83</v>
      </c>
      <c r="C11" s="43" t="s">
        <v>84</v>
      </c>
    </row>
    <row r="13" customFormat="false" ht="19.5" hidden="false" customHeight="true" outlineLevel="0" collapsed="false">
      <c r="B13" s="40" t="s">
        <v>85</v>
      </c>
      <c r="C13" s="40"/>
    </row>
    <row r="14" customFormat="false" ht="18" hidden="false" customHeight="true" outlineLevel="0" collapsed="false">
      <c r="B14" s="44" t="s">
        <v>6</v>
      </c>
      <c r="C14" s="43" t="s">
        <v>86</v>
      </c>
    </row>
    <row r="15" customFormat="false" ht="18" hidden="false" customHeight="true" outlineLevel="0" collapsed="false">
      <c r="B15" s="45" t="s">
        <v>7</v>
      </c>
      <c r="C15" s="43" t="s">
        <v>87</v>
      </c>
    </row>
    <row r="16" customFormat="false" ht="18" hidden="false" customHeight="true" outlineLevel="0" collapsed="false">
      <c r="B16" s="46" t="s">
        <v>8</v>
      </c>
      <c r="C16" s="43" t="s">
        <v>88</v>
      </c>
    </row>
    <row r="17" customFormat="false" ht="18" hidden="false" customHeight="true" outlineLevel="0" collapsed="false">
      <c r="B17" s="47" t="s">
        <v>9</v>
      </c>
      <c r="C17" s="43" t="s">
        <v>89</v>
      </c>
    </row>
    <row r="18" customFormat="false" ht="18" hidden="false" customHeight="true" outlineLevel="0" collapsed="false">
      <c r="B18" s="48" t="s">
        <v>16</v>
      </c>
      <c r="C18" s="43" t="s">
        <v>90</v>
      </c>
    </row>
    <row r="20" customFormat="false" ht="19.5" hidden="false" customHeight="true" outlineLevel="0" collapsed="false">
      <c r="B20" s="40" t="s">
        <v>91</v>
      </c>
      <c r="C20" s="40"/>
    </row>
    <row r="21" customFormat="false" ht="18" hidden="false" customHeight="true" outlineLevel="0" collapsed="false">
      <c r="B21" s="42" t="s">
        <v>92</v>
      </c>
      <c r="C21" s="43" t="s">
        <v>93</v>
      </c>
    </row>
    <row r="22" customFormat="false" ht="18" hidden="false" customHeight="true" outlineLevel="0" collapsed="false">
      <c r="B22" s="42" t="s">
        <v>94</v>
      </c>
      <c r="C22" s="43" t="s">
        <v>95</v>
      </c>
    </row>
    <row r="23" customFormat="false" ht="18" hidden="false" customHeight="true" outlineLevel="0" collapsed="false">
      <c r="B23" s="42" t="s">
        <v>96</v>
      </c>
      <c r="C23" s="43" t="s">
        <v>97</v>
      </c>
    </row>
    <row r="25" customFormat="false" ht="19.5" hidden="false" customHeight="true" outlineLevel="0" collapsed="false">
      <c r="B25" s="40" t="s">
        <v>98</v>
      </c>
      <c r="C25" s="40"/>
    </row>
    <row r="26" customFormat="false" ht="18" hidden="false" customHeight="true" outlineLevel="0" collapsed="false">
      <c r="B26" s="42" t="s">
        <v>99</v>
      </c>
      <c r="C26" s="43" t="s">
        <v>100</v>
      </c>
    </row>
    <row r="27" customFormat="false" ht="18" hidden="false" customHeight="true" outlineLevel="0" collapsed="false">
      <c r="B27" s="42" t="s">
        <v>101</v>
      </c>
      <c r="C27" s="43" t="s">
        <v>102</v>
      </c>
    </row>
    <row r="28" customFormat="false" ht="18" hidden="false" customHeight="true" outlineLevel="0" collapsed="false">
      <c r="B28" s="42" t="s">
        <v>103</v>
      </c>
      <c r="C28" s="43" t="s">
        <v>104</v>
      </c>
    </row>
  </sheetData>
  <mergeCells count="8">
    <mergeCell ref="A1:C1"/>
    <mergeCell ref="A2:C2"/>
    <mergeCell ref="B4:C4"/>
    <mergeCell ref="B5:C6"/>
    <mergeCell ref="B8:C8"/>
    <mergeCell ref="B13:C13"/>
    <mergeCell ref="B20:C20"/>
    <mergeCell ref="B25:C25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2026-10-10T07:52:35Z</dcterms:created>
  <dc:creator>openpyxl</dc:creator>
  <dc:description/>
  <dc:language>en-US</dc:language>
  <cp:lastModifiedBy/>
  <dcterms:modified xsi:type="dcterms:W3CDTF">2026-10-10T07:52:35Z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