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5C92E80B-BC60-4FE5-8F7D-AAAD73C59EAF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Kanban-Board" sheetId="2" r:id="rId1"/>
    <sheet name="Aufgaben" sheetId="1" r:id="rId2"/>
    <sheet name="Dashboard" sheetId="3" r:id="rId3"/>
  </sheets>
  <definedNames>
    <definedName name="_xlnm.Print_Area" localSheetId="1">Aufgaben!$B$2:$L$47</definedName>
    <definedName name="_xlnm.Print_Area" localSheetId="2">Dashboard!$B$2:$P$37</definedName>
    <definedName name="_xlnm.Print_Area" localSheetId="0">'Kanban-Board'!$B$2:$P$33</definedName>
    <definedName name="_xlnm.Print_Titles" localSheetId="1">Aufgaben!$7:$7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8" i="3" l="1"/>
  <c r="C18" i="3"/>
  <c r="L17" i="3"/>
  <c r="C17" i="3"/>
  <c r="L16" i="3"/>
  <c r="G16" i="3"/>
  <c r="C16" i="3"/>
  <c r="L15" i="3"/>
  <c r="G15" i="3"/>
  <c r="C15" i="3"/>
  <c r="L14" i="3"/>
  <c r="G14" i="3"/>
  <c r="C14" i="3"/>
  <c r="B9" i="3"/>
  <c r="K5" i="3"/>
  <c r="H5" i="3"/>
  <c r="E5" i="3"/>
  <c r="B5" i="3"/>
  <c r="N11" i="2"/>
  <c r="L11" i="2"/>
  <c r="E10" i="2"/>
  <c r="F8" i="2"/>
  <c r="E8" i="2"/>
  <c r="N6" i="2"/>
  <c r="K6" i="2"/>
  <c r="H6" i="2"/>
  <c r="E6" i="2"/>
  <c r="B6" i="2"/>
  <c r="N47" i="1"/>
  <c r="K47" i="1"/>
  <c r="L47" i="1" s="1"/>
  <c r="N46" i="1"/>
  <c r="K46" i="1"/>
  <c r="L46" i="1" s="1"/>
  <c r="N45" i="1"/>
  <c r="K45" i="1"/>
  <c r="L45" i="1" s="1"/>
  <c r="N44" i="1"/>
  <c r="K44" i="1"/>
  <c r="L44" i="1" s="1"/>
  <c r="N43" i="1"/>
  <c r="K43" i="1"/>
  <c r="L43" i="1" s="1"/>
  <c r="N42" i="1"/>
  <c r="K42" i="1"/>
  <c r="L42" i="1" s="1"/>
  <c r="N41" i="1"/>
  <c r="K41" i="1"/>
  <c r="L41" i="1" s="1"/>
  <c r="N40" i="1"/>
  <c r="K40" i="1"/>
  <c r="L40" i="1" s="1"/>
  <c r="N39" i="1"/>
  <c r="K39" i="1"/>
  <c r="L39" i="1" s="1"/>
  <c r="N38" i="1"/>
  <c r="K38" i="1"/>
  <c r="L38" i="1" s="1"/>
  <c r="N37" i="1"/>
  <c r="K37" i="1"/>
  <c r="L37" i="1" s="1"/>
  <c r="N36" i="1"/>
  <c r="K36" i="1"/>
  <c r="L36" i="1" s="1"/>
  <c r="N35" i="1"/>
  <c r="K35" i="1"/>
  <c r="L35" i="1" s="1"/>
  <c r="N34" i="1"/>
  <c r="K34" i="1"/>
  <c r="L34" i="1" s="1"/>
  <c r="N33" i="1"/>
  <c r="K33" i="1"/>
  <c r="L33" i="1" s="1"/>
  <c r="N32" i="1"/>
  <c r="K32" i="1"/>
  <c r="L32" i="1" s="1"/>
  <c r="N31" i="1"/>
  <c r="K31" i="1"/>
  <c r="L31" i="1" s="1"/>
  <c r="N30" i="1"/>
  <c r="K30" i="1"/>
  <c r="L30" i="1" s="1"/>
  <c r="N29" i="1"/>
  <c r="K29" i="1"/>
  <c r="L29" i="1" s="1"/>
  <c r="N28" i="1"/>
  <c r="K28" i="1"/>
  <c r="L28" i="1" s="1"/>
  <c r="N27" i="1"/>
  <c r="K27" i="1"/>
  <c r="L27" i="1" s="1"/>
  <c r="N26" i="1"/>
  <c r="K26" i="1"/>
  <c r="L26" i="1" s="1"/>
  <c r="N25" i="1"/>
  <c r="K25" i="1"/>
  <c r="L25" i="1" s="1"/>
  <c r="N24" i="1"/>
  <c r="K24" i="1"/>
  <c r="L24" i="1" s="1"/>
  <c r="N23" i="1"/>
  <c r="K23" i="1"/>
  <c r="L23" i="1" s="1"/>
  <c r="N22" i="1"/>
  <c r="K22" i="1"/>
  <c r="L22" i="1" s="1"/>
  <c r="N21" i="1"/>
  <c r="K21" i="1"/>
  <c r="L21" i="1" s="1"/>
  <c r="N20" i="1"/>
  <c r="K20" i="1"/>
  <c r="L20" i="1" s="1"/>
  <c r="N19" i="1"/>
  <c r="K19" i="1"/>
  <c r="L19" i="1" s="1"/>
  <c r="N18" i="1"/>
  <c r="H28" i="2" s="1"/>
  <c r="K18" i="1"/>
  <c r="L18" i="1" s="1"/>
  <c r="N17" i="1"/>
  <c r="L17" i="1"/>
  <c r="K17" i="1"/>
  <c r="N16" i="1"/>
  <c r="L16" i="1"/>
  <c r="K16" i="1"/>
  <c r="N15" i="1"/>
  <c r="K15" i="1"/>
  <c r="L15" i="1" s="1"/>
  <c r="N14" i="1"/>
  <c r="K14" i="1"/>
  <c r="L14" i="1" s="1"/>
  <c r="N13" i="1"/>
  <c r="N25" i="2" s="1"/>
  <c r="K13" i="1"/>
  <c r="L13" i="1" s="1"/>
  <c r="N12" i="1"/>
  <c r="C26" i="2" s="1"/>
  <c r="K12" i="1"/>
  <c r="L12" i="1" s="1"/>
  <c r="N11" i="1"/>
  <c r="K11" i="1"/>
  <c r="L11" i="1" s="1"/>
  <c r="N10" i="1"/>
  <c r="K10" i="1"/>
  <c r="L10" i="1" s="1"/>
  <c r="N9" i="1"/>
  <c r="K9" i="1"/>
  <c r="L9" i="1" s="1"/>
  <c r="N8" i="1"/>
  <c r="C29" i="2" s="1"/>
  <c r="K8" i="1"/>
  <c r="L8" i="1" s="1"/>
  <c r="E17" i="2" l="1"/>
  <c r="N20" i="2"/>
  <c r="O20" i="2"/>
  <c r="B10" i="2"/>
  <c r="I29" i="2"/>
  <c r="C14" i="2"/>
  <c r="E26" i="2"/>
  <c r="K10" i="2"/>
  <c r="F14" i="2"/>
  <c r="N17" i="2"/>
  <c r="K22" i="2"/>
  <c r="F26" i="2"/>
  <c r="N29" i="2"/>
  <c r="H16" i="2"/>
  <c r="K16" i="2"/>
  <c r="E29" i="2"/>
  <c r="N8" i="2"/>
  <c r="O8" i="2"/>
  <c r="B14" i="2"/>
  <c r="E22" i="2"/>
  <c r="L17" i="2"/>
  <c r="N10" i="2"/>
  <c r="N22" i="2"/>
  <c r="H26" i="2"/>
  <c r="I14" i="2"/>
  <c r="K14" i="2"/>
  <c r="E20" i="2"/>
  <c r="H13" i="2"/>
  <c r="F29" i="2"/>
  <c r="H29" i="2"/>
  <c r="K17" i="2"/>
  <c r="E14" i="2"/>
  <c r="B7" i="2"/>
  <c r="B11" i="2"/>
  <c r="B19" i="2"/>
  <c r="B23" i="2"/>
  <c r="I26" i="2"/>
  <c r="E7" i="2"/>
  <c r="C11" i="2"/>
  <c r="E19" i="2"/>
  <c r="C23" i="2"/>
  <c r="K26" i="2"/>
  <c r="H7" i="2"/>
  <c r="E11" i="2"/>
  <c r="L14" i="2"/>
  <c r="H19" i="2"/>
  <c r="E23" i="2"/>
  <c r="L26" i="2"/>
  <c r="K7" i="2"/>
  <c r="F11" i="2"/>
  <c r="N14" i="2"/>
  <c r="K19" i="2"/>
  <c r="F23" i="2"/>
  <c r="N26" i="2"/>
  <c r="L8" i="2"/>
  <c r="K25" i="2"/>
  <c r="B26" i="2"/>
  <c r="K29" i="2"/>
  <c r="H22" i="2"/>
  <c r="O17" i="2"/>
  <c r="N7" i="2"/>
  <c r="H11" i="2"/>
  <c r="O14" i="2"/>
  <c r="N19" i="2"/>
  <c r="H23" i="2"/>
  <c r="O26" i="2"/>
  <c r="B8" i="2"/>
  <c r="I11" i="2"/>
  <c r="B16" i="2"/>
  <c r="B20" i="2"/>
  <c r="I23" i="2"/>
  <c r="B28" i="2"/>
  <c r="L23" i="2"/>
  <c r="H25" i="2"/>
  <c r="K13" i="2"/>
  <c r="N13" i="2"/>
  <c r="I17" i="2"/>
  <c r="H10" i="2"/>
  <c r="L29" i="2"/>
  <c r="H14" i="2"/>
  <c r="O29" i="2"/>
  <c r="C8" i="2"/>
  <c r="K11" i="2"/>
  <c r="E16" i="2"/>
  <c r="C20" i="2"/>
  <c r="K23" i="2"/>
  <c r="E28" i="2"/>
  <c r="N23" i="2"/>
  <c r="K28" i="2"/>
  <c r="H8" i="2"/>
  <c r="O11" i="2"/>
  <c r="N16" i="2"/>
  <c r="H20" i="2"/>
  <c r="O23" i="2"/>
  <c r="N28" i="2"/>
  <c r="I8" i="2"/>
  <c r="B13" i="2"/>
  <c r="B17" i="2"/>
  <c r="I20" i="2"/>
  <c r="B25" i="2"/>
  <c r="B29" i="2"/>
  <c r="K8" i="2"/>
  <c r="E13" i="2"/>
  <c r="C17" i="2"/>
  <c r="K20" i="2"/>
  <c r="E25" i="2"/>
  <c r="F20" i="2"/>
  <c r="L20" i="2"/>
  <c r="F17" i="2"/>
  <c r="H17" i="2"/>
  <c r="B22" i="2"/>
</calcChain>
</file>

<file path=xl/sharedStrings.xml><?xml version="1.0" encoding="utf-8"?>
<sst xmlns="http://schemas.openxmlformats.org/spreadsheetml/2006/main" count="124" uniqueCount="75">
  <si>
    <t>KANBAN-BOARD  ·  AUFGABENVERWALTUNG 2026</t>
  </si>
  <si>
    <t>Zentrale Datenbasis – hier alle Aufgaben erfassen und pflegen. Board und Dashboard aktualisieren sich automatisch.</t>
  </si>
  <si>
    <t>AUSFÜLLHINWEIS:  Nur die weißen Zellen bearbeiten. Projekt, Verantwortlich, Priorität und Status über das Dropdown wählen. Die grau hinterlegten Spalten (Resttage, Ampel) werden automatisch berechnet.</t>
  </si>
  <si>
    <t>ID</t>
  </si>
  <si>
    <t>Aufgabe</t>
  </si>
  <si>
    <t>Beschreibung</t>
  </si>
  <si>
    <t>Projekt</t>
  </si>
  <si>
    <t>Verantwortlich</t>
  </si>
  <si>
    <t>Priorität</t>
  </si>
  <si>
    <t>Status</t>
  </si>
  <si>
    <t>Startdatum</t>
  </si>
  <si>
    <t>Fälligkeit</t>
  </si>
  <si>
    <t>Resttage</t>
  </si>
  <si>
    <t>Ampel</t>
  </si>
  <si>
    <t>Hilfe: Rang-Schlüssel</t>
  </si>
  <si>
    <t>Anforderungen abstimmen</t>
  </si>
  <si>
    <t>Stakeholder-Interviews führen und Lastenheft entwerfen.</t>
  </si>
  <si>
    <t>Projekt Alpha</t>
  </si>
  <si>
    <t>L. Brandt</t>
  </si>
  <si>
    <t>Hoch</t>
  </si>
  <si>
    <t>Backlog</t>
  </si>
  <si>
    <t>Grobkonzept erstellen</t>
  </si>
  <si>
    <t>Erste Struktur und Meilensteine definieren.</t>
  </si>
  <si>
    <t>M. Keller</t>
  </si>
  <si>
    <t>Mittel</t>
  </si>
  <si>
    <t>In Analyse</t>
  </si>
  <si>
    <t>Angebot kalkulieren</t>
  </si>
  <si>
    <t>Aufwände schätzen und Budgetrahmen festlegen.</t>
  </si>
  <si>
    <t>Projekt Beta</t>
  </si>
  <si>
    <t>S. Ahmadi</t>
  </si>
  <si>
    <t>Prototyp umsetzen</t>
  </si>
  <si>
    <t>Funktionsmuster für die Kernfunktion entwickeln.</t>
  </si>
  <si>
    <t>T. Novak</t>
  </si>
  <si>
    <t>In Umsetzung</t>
  </si>
  <si>
    <t>Lieferantenliste pflegen</t>
  </si>
  <si>
    <t>Bestehende Kontakte prüfen und aktualisieren.</t>
  </si>
  <si>
    <t>Interne IT</t>
  </si>
  <si>
    <t>R. Vogel</t>
  </si>
  <si>
    <t>Niedrig</t>
  </si>
  <si>
    <t>Testfälle schreiben</t>
  </si>
  <si>
    <t>Prüfkriterien und Abnahmetests dokumentieren.</t>
  </si>
  <si>
    <t>Schnittstelle dokumentieren</t>
  </si>
  <si>
    <t>Technische Beschreibung der Datenübergabe erstellen.</t>
  </si>
  <si>
    <t>In Prüfung</t>
  </si>
  <si>
    <t>Abnahme vorbereiten</t>
  </si>
  <si>
    <t>Checkliste und Termin mit Fachbereich organisieren.</t>
  </si>
  <si>
    <t>Kickoff-Protokoll versenden</t>
  </si>
  <si>
    <t>Ergebnisse des Auftakttreffens festhalten und teilen.</t>
  </si>
  <si>
    <t>Erledigt</t>
  </si>
  <si>
    <t>Projektordner anlegen</t>
  </si>
  <si>
    <t>Ablagestruktur und Zugriffsrechte einrichten.</t>
  </si>
  <si>
    <t>Budgetfreigabe einholen</t>
  </si>
  <si>
    <t>Freigabe der Leitung für die nächste Phase sichern.</t>
  </si>
  <si>
    <t>Risikoanalyse durchführen</t>
  </si>
  <si>
    <t>Mögliche Engpässe erfassen und bewerten.</t>
  </si>
  <si>
    <t>Automatische Ansicht – die Karten entstehen direkt aus dem Blatt »Aufgaben«. Status dort ändern genügt: Die Karte wandert hier in die passende Spalte.</t>
  </si>
  <si>
    <t>BACKLOG</t>
  </si>
  <si>
    <t>IN ANALYSE</t>
  </si>
  <si>
    <t>IN UMSETZUNG</t>
  </si>
  <si>
    <t>IN PRÜFUNG</t>
  </si>
  <si>
    <t>ERLEDIGT</t>
  </si>
  <si>
    <t>LEGENDE:  Jede Karte zeigt  #ID + Aufgabe  (oben) sowie  Verantwortlich · Projekt  und  Priorität  (unten). Prioritätsfarben: Rot = Hoch, Bernstein = Mittel, Grün = Niedrig.  Überschreitet eine Spalte ihr WIP-Limit, färbt sich die Zählzeile rot. Sichtbar sind bis zu 8 Karten je Spalte.</t>
  </si>
  <si>
    <t>KANBAN-BOARD  ·  DASHBOARD 2026</t>
  </si>
  <si>
    <t>Kennzahlen im Überblick – alle Werte berechnen sich automatisch aus dem Blatt »Aufgaben«.</t>
  </si>
  <si>
    <t>AUFGABEN GESAMT</t>
  </si>
  <si>
    <t>IN ARBEIT</t>
  </si>
  <si>
    <t>ÜBERFÄLLIG</t>
  </si>
  <si>
    <t>Aufgaben je Status</t>
  </si>
  <si>
    <t>Aufgaben je Priorität</t>
  </si>
  <si>
    <t>Offene Aufgaben je Person</t>
  </si>
  <si>
    <t>Anzahl</t>
  </si>
  <si>
    <t>Person</t>
  </si>
  <si>
    <t>Offen</t>
  </si>
  <si>
    <t>Hinweis: Diese Vorlage enthält keine Makros. Alle Kennzahlen und Diagramme aktualisieren sich automatisch, sobald im Blatt »Aufgaben« Einträge geändert oder ergänzt werden.</t>
  </si>
  <si>
    <t>KANBAN-BOARD  ·  WORKFLOW-ÜBERSICHT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</si>
</sst>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i/>
      <sz val="10"/>
      <color rgb="FFFFFFFF"/>
      <name val="Calibri"/>
      <charset val="1"/>
    </font>
    <font>
      <b/>
      <sz val="9.5"/>
      <color rgb="FF1F4E5F"/>
      <name val="Calibri"/>
      <charset val="1"/>
    </font>
    <font>
      <b/>
      <sz val="11"/>
      <color rgb="FFFFFFFF"/>
      <name val="Calibri"/>
      <charset val="1"/>
    </font>
    <font>
      <b/>
      <sz val="8"/>
      <color rgb="FFFFFFFF"/>
      <name val="Calibri"/>
      <charset val="1"/>
    </font>
    <font>
      <b/>
      <sz val="10"/>
      <color rgb="FF1F4E5F"/>
      <name val="Calibri"/>
      <charset val="1"/>
    </font>
    <font>
      <b/>
      <sz val="10"/>
      <color rgb="FF1C2A33"/>
      <name val="Calibri"/>
      <charset val="1"/>
    </font>
    <font>
      <sz val="9.5"/>
      <color rgb="FF1C2A33"/>
      <name val="Calibri"/>
      <charset val="1"/>
    </font>
    <font>
      <sz val="10"/>
      <color rgb="FF1C2A33"/>
      <name val="Calibri"/>
      <charset val="1"/>
    </font>
    <font>
      <b/>
      <sz val="9.5"/>
      <color rgb="FF1C2A33"/>
      <name val="Calibri"/>
      <charset val="1"/>
    </font>
    <font>
      <sz val="8"/>
      <color rgb="FF6B7A86"/>
      <name val="Calibri"/>
      <charset val="1"/>
    </font>
    <font>
      <b/>
      <sz val="12"/>
      <color rgb="FFFFFFFF"/>
      <name val="Calibri"/>
      <charset val="1"/>
    </font>
    <font>
      <sz val="8.5"/>
      <color rgb="FF33404A"/>
      <name val="Calibri"/>
      <charset val="1"/>
    </font>
    <font>
      <b/>
      <sz val="8.5"/>
      <color rgb="FF1C2A33"/>
      <name val="Calibri"/>
      <charset val="1"/>
    </font>
    <font>
      <i/>
      <sz val="9"/>
      <color rgb="FF33404A"/>
      <name val="Calibri"/>
      <charset val="1"/>
    </font>
    <font>
      <b/>
      <sz val="30"/>
      <color rgb="FF2E6E86"/>
      <name val="Calibri"/>
      <charset val="1"/>
    </font>
    <font>
      <b/>
      <sz val="30"/>
      <color rgb="FFC77F1A"/>
      <name val="Calibri"/>
      <charset val="1"/>
    </font>
    <font>
      <b/>
      <sz val="30"/>
      <color rgb="FF3C8C5A"/>
      <name val="Calibri"/>
      <charset val="1"/>
    </font>
    <font>
      <b/>
      <sz val="30"/>
      <color rgb="FFC0392B"/>
      <name val="Calibri"/>
      <charset val="1"/>
    </font>
    <font>
      <b/>
      <sz val="10"/>
      <color rgb="FFFFFFFF"/>
      <name val="Calibri"/>
      <charset val="1"/>
    </font>
    <font>
      <b/>
      <sz val="11"/>
      <color rgb="FF1F4E5F"/>
      <name val="Calibri"/>
      <charset val="1"/>
    </font>
    <font>
      <b/>
      <sz val="12"/>
      <color rgb="FF1F4E5F"/>
      <name val="Calibri"/>
      <charset val="1"/>
    </font>
    <font>
      <b/>
      <sz val="10"/>
      <color rgb="FF2E6E86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5F"/>
        <bgColor rgb="FF33404A"/>
      </patternFill>
    </fill>
    <fill>
      <patternFill patternType="solid">
        <fgColor rgb="FF2E6E86"/>
        <bgColor rgb="FF3C8C5A"/>
      </patternFill>
    </fill>
    <fill>
      <patternFill patternType="solid">
        <fgColor rgb="FFEEF3F5"/>
        <bgColor rgb="FFF9F9F9"/>
      </patternFill>
    </fill>
    <fill>
      <patternFill patternType="solid">
        <fgColor rgb="FF33404A"/>
        <bgColor rgb="FF1F4E5F"/>
      </patternFill>
    </fill>
    <fill>
      <patternFill patternType="solid">
        <fgColor rgb="FF6B7A86"/>
        <bgColor rgb="FF878787"/>
      </patternFill>
    </fill>
    <fill>
      <patternFill patternType="solid">
        <fgColor rgb="FFFFFFFF"/>
        <bgColor rgb="FFF9F9F9"/>
      </patternFill>
    </fill>
    <fill>
      <patternFill patternType="solid">
        <fgColor rgb="FFDCE6EA"/>
        <bgColor rgb="FFD9D9D9"/>
      </patternFill>
    </fill>
    <fill>
      <patternFill patternType="solid">
        <fgColor rgb="FFC77F1A"/>
        <bgColor rgb="FFE8A33D"/>
      </patternFill>
    </fill>
    <fill>
      <patternFill patternType="solid">
        <fgColor rgb="FF7A6CB0"/>
        <bgColor rgb="FF6B7A86"/>
      </patternFill>
    </fill>
    <fill>
      <patternFill patternType="solid">
        <fgColor rgb="FF3C8C5A"/>
        <bgColor rgb="FF2E6E86"/>
      </patternFill>
    </fill>
    <fill>
      <patternFill patternType="solid">
        <fgColor rgb="FFC0392B"/>
        <bgColor rgb="FF993366"/>
      </patternFill>
    </fill>
    <fill>
      <patternFill patternType="solid">
        <fgColor rgb="FFE8A33D"/>
        <bgColor rgb="FFC77F1A"/>
      </patternFill>
    </fill>
  </fills>
  <borders count="21">
    <border>
      <left/>
      <right/>
      <top/>
      <bottom/>
      <diagonal/>
    </border>
    <border>
      <left style="medium">
        <color rgb="FFE8A33D"/>
      </left>
      <right style="medium">
        <color rgb="FFE8A33D"/>
      </right>
      <top style="medium">
        <color rgb="FFE8A33D"/>
      </top>
      <bottom style="medium">
        <color rgb="FFE8A33D"/>
      </bottom>
      <diagonal/>
    </border>
    <border>
      <left style="thin">
        <color rgb="FF33404A"/>
      </left>
      <right style="thin">
        <color rgb="FF33404A"/>
      </right>
      <top style="thin">
        <color rgb="FF33404A"/>
      </top>
      <bottom style="thin">
        <color rgb="FF33404A"/>
      </bottom>
      <diagonal/>
    </border>
    <border>
      <left style="thin">
        <color rgb="FFC2D1D7"/>
      </left>
      <right style="thin">
        <color rgb="FFC2D1D7"/>
      </right>
      <top style="thin">
        <color rgb="FFC2D1D7"/>
      </top>
      <bottom style="thin">
        <color rgb="FFC2D1D7"/>
      </bottom>
      <diagonal/>
    </border>
    <border>
      <left style="medium">
        <color rgb="FF6B7A86"/>
      </left>
      <right style="medium">
        <color rgb="FF6B7A86"/>
      </right>
      <top style="medium">
        <color rgb="FF6B7A86"/>
      </top>
      <bottom style="medium">
        <color rgb="FF6B7A86"/>
      </bottom>
      <diagonal/>
    </border>
    <border>
      <left style="medium">
        <color rgb="FF2E6E86"/>
      </left>
      <right style="medium">
        <color rgb="FF2E6E86"/>
      </right>
      <top style="medium">
        <color rgb="FF2E6E86"/>
      </top>
      <bottom style="medium">
        <color rgb="FF2E6E86"/>
      </bottom>
      <diagonal/>
    </border>
    <border>
      <left style="medium">
        <color rgb="FFC77F1A"/>
      </left>
      <right style="medium">
        <color rgb="FFC77F1A"/>
      </right>
      <top style="medium">
        <color rgb="FFC77F1A"/>
      </top>
      <bottom style="medium">
        <color rgb="FFC77F1A"/>
      </bottom>
      <diagonal/>
    </border>
    <border>
      <left style="medium">
        <color rgb="FF7A6CB0"/>
      </left>
      <right style="medium">
        <color rgb="FF7A6CB0"/>
      </right>
      <top style="medium">
        <color rgb="FF7A6CB0"/>
      </top>
      <bottom style="medium">
        <color rgb="FF7A6CB0"/>
      </bottom>
      <diagonal/>
    </border>
    <border>
      <left style="medium">
        <color rgb="FF3C8C5A"/>
      </left>
      <right style="medium">
        <color rgb="FF3C8C5A"/>
      </right>
      <top style="medium">
        <color rgb="FF3C8C5A"/>
      </top>
      <bottom style="medium">
        <color rgb="FF3C8C5A"/>
      </bottom>
      <diagonal/>
    </border>
    <border>
      <left style="thin">
        <color rgb="FF6B7A86"/>
      </left>
      <right style="thin">
        <color rgb="FF6B7A86"/>
      </right>
      <top/>
      <bottom style="thin">
        <color rgb="FF6B7A86"/>
      </bottom>
      <diagonal/>
    </border>
    <border>
      <left style="thin">
        <color rgb="FF2E6E86"/>
      </left>
      <right style="thin">
        <color rgb="FF2E6E86"/>
      </right>
      <top/>
      <bottom style="thin">
        <color rgb="FF2E6E86"/>
      </bottom>
      <diagonal/>
    </border>
    <border>
      <left style="thin">
        <color rgb="FFC77F1A"/>
      </left>
      <right style="thin">
        <color rgb="FFC77F1A"/>
      </right>
      <top/>
      <bottom style="thin">
        <color rgb="FFC77F1A"/>
      </bottom>
      <diagonal/>
    </border>
    <border>
      <left style="thin">
        <color rgb="FF7A6CB0"/>
      </left>
      <right style="thin">
        <color rgb="FF7A6CB0"/>
      </right>
      <top/>
      <bottom style="thin">
        <color rgb="FF7A6CB0"/>
      </bottom>
      <diagonal/>
    </border>
    <border>
      <left style="thin">
        <color rgb="FF3C8C5A"/>
      </left>
      <right style="thin">
        <color rgb="FF3C8C5A"/>
      </right>
      <top/>
      <bottom style="thin">
        <color rgb="FF3C8C5A"/>
      </bottom>
      <diagonal/>
    </border>
    <border>
      <left style="thin">
        <color rgb="FFC2D1D7"/>
      </left>
      <right style="thin">
        <color rgb="FFC2D1D7"/>
      </right>
      <top style="medium">
        <color rgb="FF6B7A86"/>
      </top>
      <bottom/>
      <diagonal/>
    </border>
    <border>
      <left style="thin">
        <color rgb="FFC2D1D7"/>
      </left>
      <right style="thin">
        <color rgb="FFC2D1D7"/>
      </right>
      <top style="medium">
        <color rgb="FF2E6E86"/>
      </top>
      <bottom/>
      <diagonal/>
    </border>
    <border>
      <left style="thin">
        <color rgb="FFC2D1D7"/>
      </left>
      <right style="thin">
        <color rgb="FFC2D1D7"/>
      </right>
      <top style="medium">
        <color rgb="FFC77F1A"/>
      </top>
      <bottom/>
      <diagonal/>
    </border>
    <border>
      <left style="thin">
        <color rgb="FFC2D1D7"/>
      </left>
      <right style="thin">
        <color rgb="FFC2D1D7"/>
      </right>
      <top style="medium">
        <color rgb="FF7A6CB0"/>
      </top>
      <bottom/>
      <diagonal/>
    </border>
    <border>
      <left style="thin">
        <color rgb="FFC2D1D7"/>
      </left>
      <right style="thin">
        <color rgb="FFC2D1D7"/>
      </right>
      <top style="medium">
        <color rgb="FF3C8C5A"/>
      </top>
      <bottom/>
      <diagonal/>
    </border>
    <border>
      <left style="thin">
        <color rgb="FFC2D1D7"/>
      </left>
      <right style="thin">
        <color rgb="FFC2D1D7"/>
      </right>
      <top/>
      <bottom style="thin">
        <color rgb="FFC2D1D7"/>
      </bottom>
      <diagonal/>
    </border>
    <border>
      <left style="medium">
        <color rgb="FFC0392B"/>
      </left>
      <right style="medium">
        <color rgb="FFC0392B"/>
      </right>
      <top style="medium">
        <color rgb="FFC0392B"/>
      </top>
      <bottom style="medium">
        <color rgb="FFC0392B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7" borderId="14" xfId="0" applyFont="1" applyFill="1" applyBorder="1" applyAlignment="1">
      <alignment horizontal="left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4" fontId="9" fillId="7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9" fillId="7" borderId="3" xfId="0" applyFont="1" applyFill="1" applyBorder="1"/>
    <xf numFmtId="164" fontId="9" fillId="7" borderId="3" xfId="0" applyNumberFormat="1" applyFont="1" applyFill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0" fontId="13" fillId="7" borderId="19" xfId="0" applyFont="1" applyFill="1" applyBorder="1" applyAlignment="1">
      <alignment horizontal="left" vertical="center" wrapText="1"/>
    </xf>
    <xf numFmtId="0" fontId="14" fillId="7" borderId="19" xfId="0" applyFont="1" applyFill="1" applyBorder="1" applyAlignment="1">
      <alignment horizontal="center" vertical="center"/>
    </xf>
    <xf numFmtId="0" fontId="0" fillId="4" borderId="0" xfId="0" applyFill="1"/>
    <xf numFmtId="0" fontId="20" fillId="5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left" vertical="center" wrapText="1"/>
    </xf>
    <xf numFmtId="0" fontId="20" fillId="12" borderId="3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13" borderId="3" xfId="0" applyFont="1" applyFill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0" fillId="11" borderId="3" xfId="0" applyFont="1" applyFill="1" applyBorder="1" applyAlignment="1">
      <alignment horizontal="left" vertical="center" wrapText="1"/>
    </xf>
    <xf numFmtId="0" fontId="20" fillId="10" borderId="3" xfId="0" applyFont="1" applyFill="1" applyBorder="1" applyAlignment="1">
      <alignment horizontal="left" vertical="center" wrapText="1"/>
    </xf>
    <xf numFmtId="0" fontId="7" fillId="7" borderId="15" xfId="0" applyFont="1" applyFill="1" applyBorder="1" applyAlignment="1">
      <alignment horizontal="left" vertical="center" wrapText="1"/>
    </xf>
    <xf numFmtId="0" fontId="7" fillId="7" borderId="16" xfId="0" applyFont="1" applyFill="1" applyBorder="1" applyAlignment="1">
      <alignment horizontal="left" vertical="center" wrapText="1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 indent="1"/>
    </xf>
    <xf numFmtId="0" fontId="16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indent="1"/>
    </xf>
    <xf numFmtId="0" fontId="22" fillId="0" borderId="0" xfId="0" applyFont="1"/>
    <xf numFmtId="0" fontId="20" fillId="5" borderId="0" xfId="0" applyFont="1" applyFill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indent="1"/>
    </xf>
  </cellXfs>
  <cellStyles count="1">
    <cellStyle name="Standard" xfId="0" builtinId="0"/>
  </cellStyles>
  <dxfs count="32"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6B7A86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FFFFFF"/>
        <name val="Calibri"/>
        <charset val="1"/>
      </font>
      <fill>
        <patternFill>
          <bgColor rgb="FF7A6CB0"/>
        </patternFill>
      </fill>
    </dxf>
    <dxf>
      <font>
        <b/>
        <color rgb="FFFFFFFF"/>
        <name val="Calibri"/>
        <charset val="1"/>
      </font>
      <fill>
        <patternFill>
          <bgColor rgb="FFC77F1A"/>
        </patternFill>
      </fill>
    </dxf>
    <dxf>
      <font>
        <b/>
        <color rgb="FFFFFFFF"/>
        <name val="Calibri"/>
        <charset val="1"/>
      </font>
      <fill>
        <patternFill>
          <bgColor rgb="FF2E6E86"/>
        </patternFill>
      </fill>
    </dxf>
    <dxf>
      <font>
        <b/>
        <color rgb="FFFFFFFF"/>
        <name val="Calibri"/>
        <charset val="1"/>
      </font>
      <fill>
        <patternFill>
          <bgColor rgb="FF6B7A86"/>
        </patternFill>
      </fill>
    </dxf>
    <dxf>
      <font>
        <b/>
        <color rgb="FFFFFFFF"/>
        <name val="Calibri"/>
        <charset val="1"/>
      </font>
      <fill>
        <patternFill>
          <bgColor rgb="FF3C8C5A"/>
        </patternFill>
      </fill>
    </dxf>
    <dxf>
      <font>
        <b/>
        <color rgb="FF1C2A33"/>
        <name val="Calibri"/>
        <charset val="1"/>
      </font>
      <fill>
        <patternFill>
          <bgColor rgb="FFE8A33D"/>
        </patternFill>
      </fill>
    </dxf>
    <dxf>
      <font>
        <b/>
        <color rgb="FFFFFFFF"/>
        <name val="Calibri"/>
        <charset val="1"/>
      </font>
      <fill>
        <patternFill>
          <bgColor rgb="FFC0392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E86"/>
      <rgbColor rgb="FFD9D9D9"/>
      <rgbColor rgb="FF878787"/>
      <rgbColor rgb="FF9999FF"/>
      <rgbColor rgb="FF993366"/>
      <rgbColor rgb="FFF9F9F9"/>
      <rgbColor rgb="FFEEF3F5"/>
      <rgbColor rgb="FF660066"/>
      <rgbColor rgb="FFFF8080"/>
      <rgbColor rgb="FF0066CC"/>
      <rgbColor rgb="FFC2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EA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E8A33D"/>
      <rgbColor rgb="FFC77F1A"/>
      <rgbColor rgb="FF7A6CB0"/>
      <rgbColor rgb="FF6B7A86"/>
      <rgbColor rgb="FF1F4E5F"/>
      <rgbColor rgb="FF3C8C5A"/>
      <rgbColor rgb="FF003300"/>
      <rgbColor rgb="FF1C2A33"/>
      <rgbColor rgb="FFC0392B"/>
      <rgbColor rgb="FF993366"/>
      <rgbColor rgb="FF333399"/>
      <rgbColor rgb="FF3340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Aufgaben je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Dashboard!$C$13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6B7A86"/>
              </a:solidFill>
              <a:ln w="936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961F-439A-B399-4E418EA7585C}"/>
              </c:ext>
            </c:extLst>
          </c:dPt>
          <c:dPt>
            <c:idx val="1"/>
            <c:invertIfNegative val="0"/>
            <c:bubble3D val="0"/>
            <c:spPr>
              <a:solidFill>
                <a:srgbClr val="2E6E86"/>
              </a:solidFill>
              <a:ln w="936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961F-439A-B399-4E418EA7585C}"/>
              </c:ext>
            </c:extLst>
          </c:dPt>
          <c:dPt>
            <c:idx val="2"/>
            <c:invertIfNegative val="0"/>
            <c:bubble3D val="0"/>
            <c:spPr>
              <a:solidFill>
                <a:srgbClr val="C77F1A"/>
              </a:solidFill>
              <a:ln w="936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961F-439A-B399-4E418EA7585C}"/>
              </c:ext>
            </c:extLst>
          </c:dPt>
          <c:dPt>
            <c:idx val="3"/>
            <c:invertIfNegative val="0"/>
            <c:bubble3D val="0"/>
            <c:spPr>
              <a:solidFill>
                <a:srgbClr val="7A6CB0"/>
              </a:solidFill>
              <a:ln w="936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961F-439A-B399-4E418EA7585C}"/>
              </c:ext>
            </c:extLst>
          </c:dPt>
          <c:dPt>
            <c:idx val="4"/>
            <c:invertIfNegative val="0"/>
            <c:bubble3D val="0"/>
            <c:spPr>
              <a:solidFill>
                <a:srgbClr val="3C8C5A"/>
              </a:solidFill>
              <a:ln w="936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9-961F-439A-B399-4E418EA7585C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961F-439A-B399-4E418EA7585C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961F-439A-B399-4E418EA7585C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961F-439A-B399-4E418EA7585C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961F-439A-B399-4E418EA7585C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961F-439A-B399-4E418EA758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Dashboard!$B$14:$B$18</c:f>
              <c:strCache>
                <c:ptCount val="5"/>
                <c:pt idx="0">
                  <c:v>Backlog</c:v>
                </c:pt>
                <c:pt idx="1">
                  <c:v>In Analyse</c:v>
                </c:pt>
                <c:pt idx="2">
                  <c:v>In Umsetzung</c:v>
                </c:pt>
                <c:pt idx="3">
                  <c:v>In Prüfung</c:v>
                </c:pt>
                <c:pt idx="4">
                  <c:v>Erledigt</c:v>
                </c:pt>
              </c:strCache>
            </c:strRef>
          </c:cat>
          <c:val>
            <c:numRef>
              <c:f>Dashboard!$C$14:$C$18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61F-439A-B399-4E418EA75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40006"/>
        <c:axId val="14609489"/>
      </c:barChart>
      <c:catAx>
        <c:axId val="2524000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4609489"/>
        <c:crosses val="autoZero"/>
        <c:auto val="1"/>
        <c:lblAlgn val="ctr"/>
        <c:lblOffset val="100"/>
        <c:noMultiLvlLbl val="0"/>
      </c:catAx>
      <c:valAx>
        <c:axId val="146094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Anzahl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52400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Verteilung nach Priorität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Dashboard!$G$13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C039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784F-44B9-A714-949CC00238DC}"/>
              </c:ext>
            </c:extLst>
          </c:dPt>
          <c:dPt>
            <c:idx val="1"/>
            <c:bubble3D val="0"/>
            <c:spPr>
              <a:solidFill>
                <a:srgbClr val="E8A33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784F-44B9-A714-949CC00238DC}"/>
              </c:ext>
            </c:extLst>
          </c:dPt>
          <c:dPt>
            <c:idx val="2"/>
            <c:bubble3D val="0"/>
            <c:spPr>
              <a:solidFill>
                <a:srgbClr val="3C8C5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784F-44B9-A714-949CC00238DC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784F-44B9-A714-949CC00238DC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784F-44B9-A714-949CC00238DC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784F-44B9-A714-949CC00238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Dashboard!$F$14:$F$16</c:f>
              <c:strCache>
                <c:ptCount val="3"/>
                <c:pt idx="0">
                  <c:v>Hoch</c:v>
                </c:pt>
                <c:pt idx="1">
                  <c:v>Mittel</c:v>
                </c:pt>
                <c:pt idx="2">
                  <c:v>Niedrig</c:v>
                </c:pt>
              </c:strCache>
            </c:strRef>
          </c:cat>
          <c:val>
            <c:numRef>
              <c:f>Dashboard!$G$14:$G$16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4F-44B9-A714-949CC0023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Offene Aufgaben je Person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Dashboard!$L$13</c:f>
              <c:strCache>
                <c:ptCount val="1"/>
                <c:pt idx="0">
                  <c:v>Offen</c:v>
                </c:pt>
              </c:strCache>
            </c:strRef>
          </c:tx>
          <c:spPr>
            <a:solidFill>
              <a:srgbClr val="2E6E8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Dashboard!$J$14:$J$18</c:f>
              <c:strCache>
                <c:ptCount val="5"/>
                <c:pt idx="0">
                  <c:v>L. Brandt</c:v>
                </c:pt>
                <c:pt idx="1">
                  <c:v>M. Keller</c:v>
                </c:pt>
                <c:pt idx="2">
                  <c:v>S. Ahmadi</c:v>
                </c:pt>
                <c:pt idx="3">
                  <c:v>T. Novak</c:v>
                </c:pt>
                <c:pt idx="4">
                  <c:v>R. Vogel</c:v>
                </c:pt>
              </c:strCache>
            </c:strRef>
          </c:cat>
          <c:val>
            <c:numRef>
              <c:f>Dashboard!$L$14:$L$18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7-409D-994C-795FEB429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52482"/>
        <c:axId val="77400918"/>
      </c:barChart>
      <c:catAx>
        <c:axId val="12552482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Offen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7400918"/>
        <c:crosses val="autoZero"/>
        <c:auto val="1"/>
        <c:lblAlgn val="ctr"/>
        <c:lblOffset val="100"/>
        <c:noMultiLvlLbl val="0"/>
      </c:catAx>
      <c:valAx>
        <c:axId val="7740091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55248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5</xdr:col>
      <xdr:colOff>833760</xdr:colOff>
      <xdr:row>33</xdr:row>
      <xdr:rowOff>32400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0</xdr:rowOff>
    </xdr:from>
    <xdr:to>
      <xdr:col>11</xdr:col>
      <xdr:colOff>114120</xdr:colOff>
      <xdr:row>33</xdr:row>
      <xdr:rowOff>32400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0</xdr:colOff>
      <xdr:row>19</xdr:row>
      <xdr:rowOff>0</xdr:rowOff>
    </xdr:from>
    <xdr:to>
      <xdr:col>17</xdr:col>
      <xdr:colOff>239040</xdr:colOff>
      <xdr:row>33</xdr:row>
      <xdr:rowOff>32400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P33"/>
  <sheetViews>
    <sheetView showGridLines="0"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60" sqref="O60"/>
    </sheetView>
  </sheetViews>
  <sheetFormatPr baseColWidth="10" defaultColWidth="8.7109375" defaultRowHeight="15" x14ac:dyDescent="0.25"/>
  <cols>
    <col min="1" max="1" width="2.42578125" customWidth="1"/>
    <col min="2" max="2" width="23" customWidth="1"/>
    <col min="3" max="3" width="11" customWidth="1"/>
    <col min="4" max="4" width="2.42578125" customWidth="1"/>
    <col min="5" max="5" width="23" customWidth="1"/>
    <col min="6" max="6" width="11" customWidth="1"/>
    <col min="7" max="7" width="2.42578125" customWidth="1"/>
    <col min="8" max="8" width="23" customWidth="1"/>
    <col min="9" max="9" width="11" customWidth="1"/>
    <col min="10" max="10" width="2.42578125" customWidth="1"/>
    <col min="11" max="11" width="23" customWidth="1"/>
    <col min="12" max="12" width="11" customWidth="1"/>
    <col min="13" max="13" width="2.42578125" customWidth="1"/>
    <col min="14" max="14" width="23" customWidth="1"/>
    <col min="15" max="15" width="11" customWidth="1"/>
    <col min="16" max="16" width="2.42578125" customWidth="1"/>
  </cols>
  <sheetData>
    <row r="2" spans="2:16" ht="33.75" customHeight="1" x14ac:dyDescent="0.25">
      <c r="B2" s="14" t="s">
        <v>74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16" ht="19.5" customHeight="1" x14ac:dyDescent="0.25">
      <c r="B3" s="13" t="s">
        <v>55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spans="2:16" ht="27.75" customHeight="1" x14ac:dyDescent="0.25">
      <c r="B5" s="11" t="s">
        <v>56</v>
      </c>
      <c r="C5" s="11"/>
      <c r="E5" s="10" t="s">
        <v>57</v>
      </c>
      <c r="F5" s="10"/>
      <c r="H5" s="9" t="s">
        <v>58</v>
      </c>
      <c r="I5" s="9"/>
      <c r="K5" s="8" t="s">
        <v>59</v>
      </c>
      <c r="L5" s="8"/>
      <c r="N5" s="7" t="s">
        <v>60</v>
      </c>
      <c r="O5" s="7"/>
    </row>
    <row r="6" spans="2:16" ht="18" customHeight="1" x14ac:dyDescent="0.25">
      <c r="B6" s="6" t="str">
        <f>"Anzahl: "&amp;COUNTIF(Aufgaben!$H$8:$H$47,"Backlog")&amp;"    WIP-Limit: 6"</f>
        <v>Anzahl: 3    WIP-Limit: 6</v>
      </c>
      <c r="C6" s="6"/>
      <c r="E6" s="5" t="str">
        <f>"Anzahl: "&amp;COUNTIF(Aufgaben!$H$8:$H$47,"In Analyse")&amp;"    WIP-Limit: 3"</f>
        <v>Anzahl: 2    WIP-Limit: 3</v>
      </c>
      <c r="F6" s="5"/>
      <c r="H6" s="4" t="str">
        <f>"Anzahl: "&amp;COUNTIF(Aufgaben!$H$8:$H$47,"In Umsetzung")&amp;"    WIP-Limit: 4"</f>
        <v>Anzahl: 3    WIP-Limit: 4</v>
      </c>
      <c r="I6" s="4"/>
      <c r="K6" s="3" t="str">
        <f>"Anzahl: "&amp;COUNTIF(Aufgaben!$H$8:$H$47,"In Prüfung")&amp;"    WIP-Limit: 3"</f>
        <v>Anzahl: 2    WIP-Limit: 3</v>
      </c>
      <c r="L6" s="3"/>
      <c r="N6" s="2" t="str">
        <f>"Anzahl: "&amp;COUNTIF(Aufgaben!$H$8:$H$47,"Erledigt")</f>
        <v>Anzahl: 2</v>
      </c>
      <c r="O6" s="2"/>
    </row>
    <row r="7" spans="2:16" ht="19.5" customHeight="1" x14ac:dyDescent="0.25">
      <c r="B7" s="1" t="str">
        <f>IFERROR("#"&amp;INDEX(Aufgaben!$B$8:$B$47,MATCH("Backlog#"&amp;1,Aufgaben!$N$8:$N$47,0))&amp;"  "&amp;INDEX(Aufgaben!$C$8:$C$47,MATCH("Backlog#"&amp;1,Aufgaben!$N$8:$N$47,0)),"")</f>
        <v>#1  Anforderungen abstimmen</v>
      </c>
      <c r="C7" s="1"/>
      <c r="E7" s="47" t="str">
        <f>IFERROR("#"&amp;INDEX(Aufgaben!$B$8:$B$47,MATCH("In Analyse#"&amp;1,Aufgaben!$N$8:$N$47,0))&amp;"  "&amp;INDEX(Aufgaben!$C$8:$C$47,MATCH("In Analyse#"&amp;1,Aufgaben!$N$8:$N$47,0)),"")</f>
        <v>#2  Grobkonzept erstellen</v>
      </c>
      <c r="F7" s="47"/>
      <c r="H7" s="48" t="str">
        <f>IFERROR("#"&amp;INDEX(Aufgaben!$B$8:$B$47,MATCH("In Umsetzung#"&amp;1,Aufgaben!$N$8:$N$47,0))&amp;"  "&amp;INDEX(Aufgaben!$C$8:$C$47,MATCH("In Umsetzung#"&amp;1,Aufgaben!$N$8:$N$47,0)),"")</f>
        <v>#4  Prototyp umsetzen</v>
      </c>
      <c r="I7" s="48"/>
      <c r="K7" s="49" t="str">
        <f>IFERROR("#"&amp;INDEX(Aufgaben!$B$8:$B$47,MATCH("In Prüfung#"&amp;1,Aufgaben!$N$8:$N$47,0))&amp;"  "&amp;INDEX(Aufgaben!$C$8:$C$47,MATCH("In Prüfung#"&amp;1,Aufgaben!$N$8:$N$47,0)),"")</f>
        <v>#7  Schnittstelle dokumentieren</v>
      </c>
      <c r="L7" s="49"/>
      <c r="N7" s="50" t="str">
        <f>IFERROR("#"&amp;INDEX(Aufgaben!$B$8:$B$47,MATCH("Erledigt#"&amp;1,Aufgaben!$N$8:$N$47,0))&amp;"  "&amp;INDEX(Aufgaben!$C$8:$C$47,MATCH("Erledigt#"&amp;1,Aufgaben!$N$8:$N$47,0)),"")</f>
        <v>#9  Kickoff-Protokoll versenden</v>
      </c>
      <c r="O7" s="50"/>
    </row>
    <row r="8" spans="2:16" ht="15.75" customHeight="1" x14ac:dyDescent="0.25">
      <c r="B8" s="36" t="str">
        <f>IFERROR(INDEX(Aufgaben!$F$8:$F$47,MATCH("Backlog#"&amp;1,Aufgaben!$N$8:$N$47,0))&amp;"  ·  "&amp;INDEX(Aufgaben!$E$8:$E$47,MATCH("Backlog#"&amp;1,Aufgaben!$N$8:$N$47,0)),"")</f>
        <v>L. Brandt  ·  Projekt Alpha</v>
      </c>
      <c r="C8" s="37" t="str">
        <f>IFERROR(INDEX(Aufgaben!$G$8:$G$47,MATCH("Backlog#"&amp;1,Aufgaben!$N$8:$N$47,0)),"")</f>
        <v>Hoch</v>
      </c>
      <c r="E8" s="36" t="str">
        <f>IFERROR(INDEX(Aufgaben!$F$8:$F$47,MATCH("In Analyse#"&amp;1,Aufgaben!$N$8:$N$47,0))&amp;"  ·  "&amp;INDEX(Aufgaben!$E$8:$E$47,MATCH("In Analyse#"&amp;1,Aufgaben!$N$8:$N$47,0)),"")</f>
        <v>M. Keller  ·  Projekt Alpha</v>
      </c>
      <c r="F8" s="37" t="str">
        <f>IFERROR(INDEX(Aufgaben!$G$8:$G$47,MATCH("In Analyse#"&amp;1,Aufgaben!$N$8:$N$47,0)),"")</f>
        <v>Mittel</v>
      </c>
      <c r="H8" s="36" t="str">
        <f>IFERROR(INDEX(Aufgaben!$F$8:$F$47,MATCH("In Umsetzung#"&amp;1,Aufgaben!$N$8:$N$47,0))&amp;"  ·  "&amp;INDEX(Aufgaben!$E$8:$E$47,MATCH("In Umsetzung#"&amp;1,Aufgaben!$N$8:$N$47,0)),"")</f>
        <v>T. Novak  ·  Projekt Alpha</v>
      </c>
      <c r="I8" s="37" t="str">
        <f>IFERROR(INDEX(Aufgaben!$G$8:$G$47,MATCH("In Umsetzung#"&amp;1,Aufgaben!$N$8:$N$47,0)),"")</f>
        <v>Hoch</v>
      </c>
      <c r="K8" s="36" t="str">
        <f>IFERROR(INDEX(Aufgaben!$F$8:$F$47,MATCH("In Prüfung#"&amp;1,Aufgaben!$N$8:$N$47,0))&amp;"  ·  "&amp;INDEX(Aufgaben!$E$8:$E$47,MATCH("In Prüfung#"&amp;1,Aufgaben!$N$8:$N$47,0)),"")</f>
        <v>T. Novak  ·  Interne IT</v>
      </c>
      <c r="L8" s="37" t="str">
        <f>IFERROR(INDEX(Aufgaben!$G$8:$G$47,MATCH("In Prüfung#"&amp;1,Aufgaben!$N$8:$N$47,0)),"")</f>
        <v>Mittel</v>
      </c>
      <c r="N8" s="36" t="str">
        <f>IFERROR(INDEX(Aufgaben!$F$8:$F$47,MATCH("Erledigt#"&amp;1,Aufgaben!$N$8:$N$47,0))&amp;"  ·  "&amp;INDEX(Aufgaben!$E$8:$E$47,MATCH("Erledigt#"&amp;1,Aufgaben!$N$8:$N$47,0)),"")</f>
        <v>S. Ahmadi  ·  Projekt Beta</v>
      </c>
      <c r="O8" s="37" t="str">
        <f>IFERROR(INDEX(Aufgaben!$G$8:$G$47,MATCH("Erledigt#"&amp;1,Aufgaben!$N$8:$N$47,0)),"")</f>
        <v>Niedrig</v>
      </c>
    </row>
    <row r="9" spans="2:16" ht="4.5" customHeight="1" x14ac:dyDescent="0.25">
      <c r="B9" s="38"/>
      <c r="C9" s="38"/>
      <c r="E9" s="38"/>
      <c r="F9" s="38"/>
      <c r="H9" s="38"/>
      <c r="I9" s="38"/>
      <c r="K9" s="38"/>
      <c r="L9" s="38"/>
      <c r="N9" s="38"/>
      <c r="O9" s="38"/>
    </row>
    <row r="10" spans="2:16" ht="19.5" customHeight="1" x14ac:dyDescent="0.25">
      <c r="B10" s="1" t="str">
        <f>IFERROR("#"&amp;INDEX(Aufgaben!$B$8:$B$47,MATCH("Backlog#"&amp;2,Aufgaben!$N$8:$N$47,0))&amp;"  "&amp;INDEX(Aufgaben!$C$8:$C$47,MATCH("Backlog#"&amp;2,Aufgaben!$N$8:$N$47,0)),"")</f>
        <v>#11  Budgetfreigabe einholen</v>
      </c>
      <c r="C10" s="1"/>
      <c r="E10" s="47" t="str">
        <f>IFERROR("#"&amp;INDEX(Aufgaben!$B$8:$B$47,MATCH("In Analyse#"&amp;2,Aufgaben!$N$8:$N$47,0))&amp;"  "&amp;INDEX(Aufgaben!$C$8:$C$47,MATCH("In Analyse#"&amp;2,Aufgaben!$N$8:$N$47,0)),"")</f>
        <v>#3  Angebot kalkulieren</v>
      </c>
      <c r="F10" s="47"/>
      <c r="H10" s="48" t="str">
        <f>IFERROR("#"&amp;INDEX(Aufgaben!$B$8:$B$47,MATCH("In Umsetzung#"&amp;2,Aufgaben!$N$8:$N$47,0))&amp;"  "&amp;INDEX(Aufgaben!$C$8:$C$47,MATCH("In Umsetzung#"&amp;2,Aufgaben!$N$8:$N$47,0)),"")</f>
        <v>#5  Lieferantenliste pflegen</v>
      </c>
      <c r="I10" s="48"/>
      <c r="K10" s="49" t="str">
        <f>IFERROR("#"&amp;INDEX(Aufgaben!$B$8:$B$47,MATCH("In Prüfung#"&amp;2,Aufgaben!$N$8:$N$47,0))&amp;"  "&amp;INDEX(Aufgaben!$C$8:$C$47,MATCH("In Prüfung#"&amp;2,Aufgaben!$N$8:$N$47,0)),"")</f>
        <v>#8  Abnahme vorbereiten</v>
      </c>
      <c r="L10" s="49"/>
      <c r="N10" s="50" t="str">
        <f>IFERROR("#"&amp;INDEX(Aufgaben!$B$8:$B$47,MATCH("Erledigt#"&amp;2,Aufgaben!$N$8:$N$47,0))&amp;"  "&amp;INDEX(Aufgaben!$C$8:$C$47,MATCH("Erledigt#"&amp;2,Aufgaben!$N$8:$N$47,0)),"")</f>
        <v>#10  Projektordner anlegen</v>
      </c>
      <c r="O10" s="50"/>
    </row>
    <row r="11" spans="2:16" ht="15.75" customHeight="1" x14ac:dyDescent="0.25">
      <c r="B11" s="36" t="str">
        <f>IFERROR(INDEX(Aufgaben!$F$8:$F$47,MATCH("Backlog#"&amp;2,Aufgaben!$N$8:$N$47,0))&amp;"  ·  "&amp;INDEX(Aufgaben!$E$8:$E$47,MATCH("Backlog#"&amp;2,Aufgaben!$N$8:$N$47,0)),"")</f>
        <v>M. Keller  ·  Projekt Alpha</v>
      </c>
      <c r="C11" s="37" t="str">
        <f>IFERROR(INDEX(Aufgaben!$G$8:$G$47,MATCH("Backlog#"&amp;2,Aufgaben!$N$8:$N$47,0)),"")</f>
        <v>Hoch</v>
      </c>
      <c r="E11" s="36" t="str">
        <f>IFERROR(INDEX(Aufgaben!$F$8:$F$47,MATCH("In Analyse#"&amp;2,Aufgaben!$N$8:$N$47,0))&amp;"  ·  "&amp;INDEX(Aufgaben!$E$8:$E$47,MATCH("In Analyse#"&amp;2,Aufgaben!$N$8:$N$47,0)),"")</f>
        <v>S. Ahmadi  ·  Projekt Beta</v>
      </c>
      <c r="F11" s="37" t="str">
        <f>IFERROR(INDEX(Aufgaben!$G$8:$G$47,MATCH("In Analyse#"&amp;2,Aufgaben!$N$8:$N$47,0)),"")</f>
        <v>Hoch</v>
      </c>
      <c r="H11" s="36" t="str">
        <f>IFERROR(INDEX(Aufgaben!$F$8:$F$47,MATCH("In Umsetzung#"&amp;2,Aufgaben!$N$8:$N$47,0))&amp;"  ·  "&amp;INDEX(Aufgaben!$E$8:$E$47,MATCH("In Umsetzung#"&amp;2,Aufgaben!$N$8:$N$47,0)),"")</f>
        <v>R. Vogel  ·  Interne IT</v>
      </c>
      <c r="I11" s="37" t="str">
        <f>IFERROR(INDEX(Aufgaben!$G$8:$G$47,MATCH("In Umsetzung#"&amp;2,Aufgaben!$N$8:$N$47,0)),"")</f>
        <v>Niedrig</v>
      </c>
      <c r="K11" s="36" t="str">
        <f>IFERROR(INDEX(Aufgaben!$F$8:$F$47,MATCH("In Prüfung#"&amp;2,Aufgaben!$N$8:$N$47,0))&amp;"  ·  "&amp;INDEX(Aufgaben!$E$8:$E$47,MATCH("In Prüfung#"&amp;2,Aufgaben!$N$8:$N$47,0)),"")</f>
        <v>L. Brandt  ·  Projekt Alpha</v>
      </c>
      <c r="L11" s="37" t="str">
        <f>IFERROR(INDEX(Aufgaben!$G$8:$G$47,MATCH("In Prüfung#"&amp;2,Aufgaben!$N$8:$N$47,0)),"")</f>
        <v>Hoch</v>
      </c>
      <c r="N11" s="36" t="str">
        <f>IFERROR(INDEX(Aufgaben!$F$8:$F$47,MATCH("Erledigt#"&amp;2,Aufgaben!$N$8:$N$47,0))&amp;"  ·  "&amp;INDEX(Aufgaben!$E$8:$E$47,MATCH("Erledigt#"&amp;2,Aufgaben!$N$8:$N$47,0)),"")</f>
        <v>R. Vogel  ·  Interne IT</v>
      </c>
      <c r="O11" s="37" t="str">
        <f>IFERROR(INDEX(Aufgaben!$G$8:$G$47,MATCH("Erledigt#"&amp;2,Aufgaben!$N$8:$N$47,0)),"")</f>
        <v>Niedrig</v>
      </c>
    </row>
    <row r="12" spans="2:16" ht="4.5" customHeight="1" x14ac:dyDescent="0.25">
      <c r="B12" s="38"/>
      <c r="C12" s="38"/>
      <c r="E12" s="38"/>
      <c r="F12" s="38"/>
      <c r="H12" s="38"/>
      <c r="I12" s="38"/>
      <c r="K12" s="38"/>
      <c r="L12" s="38"/>
      <c r="N12" s="38"/>
      <c r="O12" s="38"/>
    </row>
    <row r="13" spans="2:16" ht="19.5" customHeight="1" x14ac:dyDescent="0.25">
      <c r="B13" s="1" t="str">
        <f>IFERROR("#"&amp;INDEX(Aufgaben!$B$8:$B$47,MATCH("Backlog#"&amp;3,Aufgaben!$N$8:$N$47,0))&amp;"  "&amp;INDEX(Aufgaben!$C$8:$C$47,MATCH("Backlog#"&amp;3,Aufgaben!$N$8:$N$47,0)),"")</f>
        <v>#12  Risikoanalyse durchführen</v>
      </c>
      <c r="C13" s="1"/>
      <c r="E13" s="47" t="str">
        <f>IFERROR("#"&amp;INDEX(Aufgaben!$B$8:$B$47,MATCH("In Analyse#"&amp;3,Aufgaben!$N$8:$N$47,0))&amp;"  "&amp;INDEX(Aufgaben!$C$8:$C$47,MATCH("In Analyse#"&amp;3,Aufgaben!$N$8:$N$47,0)),"")</f>
        <v/>
      </c>
      <c r="F13" s="47"/>
      <c r="H13" s="48" t="str">
        <f>IFERROR("#"&amp;INDEX(Aufgaben!$B$8:$B$47,MATCH("In Umsetzung#"&amp;3,Aufgaben!$N$8:$N$47,0))&amp;"  "&amp;INDEX(Aufgaben!$C$8:$C$47,MATCH("In Umsetzung#"&amp;3,Aufgaben!$N$8:$N$47,0)),"")</f>
        <v>#6  Testfälle schreiben</v>
      </c>
      <c r="I13" s="48"/>
      <c r="K13" s="49" t="str">
        <f>IFERROR("#"&amp;INDEX(Aufgaben!$B$8:$B$47,MATCH("In Prüfung#"&amp;3,Aufgaben!$N$8:$N$47,0))&amp;"  "&amp;INDEX(Aufgaben!$C$8:$C$47,MATCH("In Prüfung#"&amp;3,Aufgaben!$N$8:$N$47,0)),"")</f>
        <v/>
      </c>
      <c r="L13" s="49"/>
      <c r="N13" s="50" t="str">
        <f>IFERROR("#"&amp;INDEX(Aufgaben!$B$8:$B$47,MATCH("Erledigt#"&amp;3,Aufgaben!$N$8:$N$47,0))&amp;"  "&amp;INDEX(Aufgaben!$C$8:$C$47,MATCH("Erledigt#"&amp;3,Aufgaben!$N$8:$N$47,0)),"")</f>
        <v/>
      </c>
      <c r="O13" s="50"/>
    </row>
    <row r="14" spans="2:16" ht="15.75" customHeight="1" x14ac:dyDescent="0.25">
      <c r="B14" s="36" t="str">
        <f>IFERROR(INDEX(Aufgaben!$F$8:$F$47,MATCH("Backlog#"&amp;3,Aufgaben!$N$8:$N$47,0))&amp;"  ·  "&amp;INDEX(Aufgaben!$E$8:$E$47,MATCH("Backlog#"&amp;3,Aufgaben!$N$8:$N$47,0)),"")</f>
        <v>L. Brandt  ·  Projekt Beta</v>
      </c>
      <c r="C14" s="37" t="str">
        <f>IFERROR(INDEX(Aufgaben!$G$8:$G$47,MATCH("Backlog#"&amp;3,Aufgaben!$N$8:$N$47,0)),"")</f>
        <v>Mittel</v>
      </c>
      <c r="E14" s="36" t="str">
        <f>IFERROR(INDEX(Aufgaben!$F$8:$F$47,MATCH("In Analyse#"&amp;3,Aufgaben!$N$8:$N$47,0))&amp;"  ·  "&amp;INDEX(Aufgaben!$E$8:$E$47,MATCH("In Analyse#"&amp;3,Aufgaben!$N$8:$N$47,0)),"")</f>
        <v/>
      </c>
      <c r="F14" s="37" t="str">
        <f>IFERROR(INDEX(Aufgaben!$G$8:$G$47,MATCH("In Analyse#"&amp;3,Aufgaben!$N$8:$N$47,0)),"")</f>
        <v/>
      </c>
      <c r="H14" s="36" t="str">
        <f>IFERROR(INDEX(Aufgaben!$F$8:$F$47,MATCH("In Umsetzung#"&amp;3,Aufgaben!$N$8:$N$47,0))&amp;"  ·  "&amp;INDEX(Aufgaben!$E$8:$E$47,MATCH("In Umsetzung#"&amp;3,Aufgaben!$N$8:$N$47,0)),"")</f>
        <v>M. Keller  ·  Projekt Beta</v>
      </c>
      <c r="I14" s="37" t="str">
        <f>IFERROR(INDEX(Aufgaben!$G$8:$G$47,MATCH("In Umsetzung#"&amp;3,Aufgaben!$N$8:$N$47,0)),"")</f>
        <v>Mittel</v>
      </c>
      <c r="K14" s="36" t="str">
        <f>IFERROR(INDEX(Aufgaben!$F$8:$F$47,MATCH("In Prüfung#"&amp;3,Aufgaben!$N$8:$N$47,0))&amp;"  ·  "&amp;INDEX(Aufgaben!$E$8:$E$47,MATCH("In Prüfung#"&amp;3,Aufgaben!$N$8:$N$47,0)),"")</f>
        <v/>
      </c>
      <c r="L14" s="37" t="str">
        <f>IFERROR(INDEX(Aufgaben!$G$8:$G$47,MATCH("In Prüfung#"&amp;3,Aufgaben!$N$8:$N$47,0)),"")</f>
        <v/>
      </c>
      <c r="N14" s="36" t="str">
        <f>IFERROR(INDEX(Aufgaben!$F$8:$F$47,MATCH("Erledigt#"&amp;3,Aufgaben!$N$8:$N$47,0))&amp;"  ·  "&amp;INDEX(Aufgaben!$E$8:$E$47,MATCH("Erledigt#"&amp;3,Aufgaben!$N$8:$N$47,0)),"")</f>
        <v/>
      </c>
      <c r="O14" s="37" t="str">
        <f>IFERROR(INDEX(Aufgaben!$G$8:$G$47,MATCH("Erledigt#"&amp;3,Aufgaben!$N$8:$N$47,0)),"")</f>
        <v/>
      </c>
    </row>
    <row r="15" spans="2:16" ht="4.5" customHeight="1" x14ac:dyDescent="0.25">
      <c r="B15" s="38"/>
      <c r="C15" s="38"/>
      <c r="E15" s="38"/>
      <c r="F15" s="38"/>
      <c r="H15" s="38"/>
      <c r="I15" s="38"/>
      <c r="K15" s="38"/>
      <c r="L15" s="38"/>
      <c r="N15" s="38"/>
      <c r="O15" s="38"/>
    </row>
    <row r="16" spans="2:16" ht="19.5" customHeight="1" x14ac:dyDescent="0.25">
      <c r="B16" s="1" t="str">
        <f>IFERROR("#"&amp;INDEX(Aufgaben!$B$8:$B$47,MATCH("Backlog#"&amp;4,Aufgaben!$N$8:$N$47,0))&amp;"  "&amp;INDEX(Aufgaben!$C$8:$C$47,MATCH("Backlog#"&amp;4,Aufgaben!$N$8:$N$47,0)),"")</f>
        <v/>
      </c>
      <c r="C16" s="1"/>
      <c r="E16" s="47" t="str">
        <f>IFERROR("#"&amp;INDEX(Aufgaben!$B$8:$B$47,MATCH("In Analyse#"&amp;4,Aufgaben!$N$8:$N$47,0))&amp;"  "&amp;INDEX(Aufgaben!$C$8:$C$47,MATCH("In Analyse#"&amp;4,Aufgaben!$N$8:$N$47,0)),"")</f>
        <v/>
      </c>
      <c r="F16" s="47"/>
      <c r="H16" s="48" t="str">
        <f>IFERROR("#"&amp;INDEX(Aufgaben!$B$8:$B$47,MATCH("In Umsetzung#"&amp;4,Aufgaben!$N$8:$N$47,0))&amp;"  "&amp;INDEX(Aufgaben!$C$8:$C$47,MATCH("In Umsetzung#"&amp;4,Aufgaben!$N$8:$N$47,0)),"")</f>
        <v/>
      </c>
      <c r="I16" s="48"/>
      <c r="K16" s="49" t="str">
        <f>IFERROR("#"&amp;INDEX(Aufgaben!$B$8:$B$47,MATCH("In Prüfung#"&amp;4,Aufgaben!$N$8:$N$47,0))&amp;"  "&amp;INDEX(Aufgaben!$C$8:$C$47,MATCH("In Prüfung#"&amp;4,Aufgaben!$N$8:$N$47,0)),"")</f>
        <v/>
      </c>
      <c r="L16" s="49"/>
      <c r="N16" s="50" t="str">
        <f>IFERROR("#"&amp;INDEX(Aufgaben!$B$8:$B$47,MATCH("Erledigt#"&amp;4,Aufgaben!$N$8:$N$47,0))&amp;"  "&amp;INDEX(Aufgaben!$C$8:$C$47,MATCH("Erledigt#"&amp;4,Aufgaben!$N$8:$N$47,0)),"")</f>
        <v/>
      </c>
      <c r="O16" s="50"/>
    </row>
    <row r="17" spans="2:15" ht="15.75" customHeight="1" x14ac:dyDescent="0.25">
      <c r="B17" s="36" t="str">
        <f>IFERROR(INDEX(Aufgaben!$F$8:$F$47,MATCH("Backlog#"&amp;4,Aufgaben!$N$8:$N$47,0))&amp;"  ·  "&amp;INDEX(Aufgaben!$E$8:$E$47,MATCH("Backlog#"&amp;4,Aufgaben!$N$8:$N$47,0)),"")</f>
        <v/>
      </c>
      <c r="C17" s="37" t="str">
        <f>IFERROR(INDEX(Aufgaben!$G$8:$G$47,MATCH("Backlog#"&amp;4,Aufgaben!$N$8:$N$47,0)),"")</f>
        <v/>
      </c>
      <c r="E17" s="36" t="str">
        <f>IFERROR(INDEX(Aufgaben!$F$8:$F$47,MATCH("In Analyse#"&amp;4,Aufgaben!$N$8:$N$47,0))&amp;"  ·  "&amp;INDEX(Aufgaben!$E$8:$E$47,MATCH("In Analyse#"&amp;4,Aufgaben!$N$8:$N$47,0)),"")</f>
        <v/>
      </c>
      <c r="F17" s="37" t="str">
        <f>IFERROR(INDEX(Aufgaben!$G$8:$G$47,MATCH("In Analyse#"&amp;4,Aufgaben!$N$8:$N$47,0)),"")</f>
        <v/>
      </c>
      <c r="H17" s="36" t="str">
        <f>IFERROR(INDEX(Aufgaben!$F$8:$F$47,MATCH("In Umsetzung#"&amp;4,Aufgaben!$N$8:$N$47,0))&amp;"  ·  "&amp;INDEX(Aufgaben!$E$8:$E$47,MATCH("In Umsetzung#"&amp;4,Aufgaben!$N$8:$N$47,0)),"")</f>
        <v/>
      </c>
      <c r="I17" s="37" t="str">
        <f>IFERROR(INDEX(Aufgaben!$G$8:$G$47,MATCH("In Umsetzung#"&amp;4,Aufgaben!$N$8:$N$47,0)),"")</f>
        <v/>
      </c>
      <c r="K17" s="36" t="str">
        <f>IFERROR(INDEX(Aufgaben!$F$8:$F$47,MATCH("In Prüfung#"&amp;4,Aufgaben!$N$8:$N$47,0))&amp;"  ·  "&amp;INDEX(Aufgaben!$E$8:$E$47,MATCH("In Prüfung#"&amp;4,Aufgaben!$N$8:$N$47,0)),"")</f>
        <v/>
      </c>
      <c r="L17" s="37" t="str">
        <f>IFERROR(INDEX(Aufgaben!$G$8:$G$47,MATCH("In Prüfung#"&amp;4,Aufgaben!$N$8:$N$47,0)),"")</f>
        <v/>
      </c>
      <c r="N17" s="36" t="str">
        <f>IFERROR(INDEX(Aufgaben!$F$8:$F$47,MATCH("Erledigt#"&amp;4,Aufgaben!$N$8:$N$47,0))&amp;"  ·  "&amp;INDEX(Aufgaben!$E$8:$E$47,MATCH("Erledigt#"&amp;4,Aufgaben!$N$8:$N$47,0)),"")</f>
        <v/>
      </c>
      <c r="O17" s="37" t="str">
        <f>IFERROR(INDEX(Aufgaben!$G$8:$G$47,MATCH("Erledigt#"&amp;4,Aufgaben!$N$8:$N$47,0)),"")</f>
        <v/>
      </c>
    </row>
    <row r="18" spans="2:15" ht="4.5" customHeight="1" x14ac:dyDescent="0.25">
      <c r="B18" s="38"/>
      <c r="C18" s="38"/>
      <c r="E18" s="38"/>
      <c r="F18" s="38"/>
      <c r="H18" s="38"/>
      <c r="I18" s="38"/>
      <c r="K18" s="38"/>
      <c r="L18" s="38"/>
      <c r="N18" s="38"/>
      <c r="O18" s="38"/>
    </row>
    <row r="19" spans="2:15" ht="19.5" customHeight="1" x14ac:dyDescent="0.25">
      <c r="B19" s="1" t="str">
        <f>IFERROR("#"&amp;INDEX(Aufgaben!$B$8:$B$47,MATCH("Backlog#"&amp;5,Aufgaben!$N$8:$N$47,0))&amp;"  "&amp;INDEX(Aufgaben!$C$8:$C$47,MATCH("Backlog#"&amp;5,Aufgaben!$N$8:$N$47,0)),"")</f>
        <v/>
      </c>
      <c r="C19" s="1"/>
      <c r="E19" s="47" t="str">
        <f>IFERROR("#"&amp;INDEX(Aufgaben!$B$8:$B$47,MATCH("In Analyse#"&amp;5,Aufgaben!$N$8:$N$47,0))&amp;"  "&amp;INDEX(Aufgaben!$C$8:$C$47,MATCH("In Analyse#"&amp;5,Aufgaben!$N$8:$N$47,0)),"")</f>
        <v/>
      </c>
      <c r="F19" s="47"/>
      <c r="H19" s="48" t="str">
        <f>IFERROR("#"&amp;INDEX(Aufgaben!$B$8:$B$47,MATCH("In Umsetzung#"&amp;5,Aufgaben!$N$8:$N$47,0))&amp;"  "&amp;INDEX(Aufgaben!$C$8:$C$47,MATCH("In Umsetzung#"&amp;5,Aufgaben!$N$8:$N$47,0)),"")</f>
        <v/>
      </c>
      <c r="I19" s="48"/>
      <c r="K19" s="49" t="str">
        <f>IFERROR("#"&amp;INDEX(Aufgaben!$B$8:$B$47,MATCH("In Prüfung#"&amp;5,Aufgaben!$N$8:$N$47,0))&amp;"  "&amp;INDEX(Aufgaben!$C$8:$C$47,MATCH("In Prüfung#"&amp;5,Aufgaben!$N$8:$N$47,0)),"")</f>
        <v/>
      </c>
      <c r="L19" s="49"/>
      <c r="N19" s="50" t="str">
        <f>IFERROR("#"&amp;INDEX(Aufgaben!$B$8:$B$47,MATCH("Erledigt#"&amp;5,Aufgaben!$N$8:$N$47,0))&amp;"  "&amp;INDEX(Aufgaben!$C$8:$C$47,MATCH("Erledigt#"&amp;5,Aufgaben!$N$8:$N$47,0)),"")</f>
        <v/>
      </c>
      <c r="O19" s="50"/>
    </row>
    <row r="20" spans="2:15" ht="15.75" customHeight="1" x14ac:dyDescent="0.25">
      <c r="B20" s="36" t="str">
        <f>IFERROR(INDEX(Aufgaben!$F$8:$F$47,MATCH("Backlog#"&amp;5,Aufgaben!$N$8:$N$47,0))&amp;"  ·  "&amp;INDEX(Aufgaben!$E$8:$E$47,MATCH("Backlog#"&amp;5,Aufgaben!$N$8:$N$47,0)),"")</f>
        <v/>
      </c>
      <c r="C20" s="37" t="str">
        <f>IFERROR(INDEX(Aufgaben!$G$8:$G$47,MATCH("Backlog#"&amp;5,Aufgaben!$N$8:$N$47,0)),"")</f>
        <v/>
      </c>
      <c r="E20" s="36" t="str">
        <f>IFERROR(INDEX(Aufgaben!$F$8:$F$47,MATCH("In Analyse#"&amp;5,Aufgaben!$N$8:$N$47,0))&amp;"  ·  "&amp;INDEX(Aufgaben!$E$8:$E$47,MATCH("In Analyse#"&amp;5,Aufgaben!$N$8:$N$47,0)),"")</f>
        <v/>
      </c>
      <c r="F20" s="37" t="str">
        <f>IFERROR(INDEX(Aufgaben!$G$8:$G$47,MATCH("In Analyse#"&amp;5,Aufgaben!$N$8:$N$47,0)),"")</f>
        <v/>
      </c>
      <c r="H20" s="36" t="str">
        <f>IFERROR(INDEX(Aufgaben!$F$8:$F$47,MATCH("In Umsetzung#"&amp;5,Aufgaben!$N$8:$N$47,0))&amp;"  ·  "&amp;INDEX(Aufgaben!$E$8:$E$47,MATCH("In Umsetzung#"&amp;5,Aufgaben!$N$8:$N$47,0)),"")</f>
        <v/>
      </c>
      <c r="I20" s="37" t="str">
        <f>IFERROR(INDEX(Aufgaben!$G$8:$G$47,MATCH("In Umsetzung#"&amp;5,Aufgaben!$N$8:$N$47,0)),"")</f>
        <v/>
      </c>
      <c r="K20" s="36" t="str">
        <f>IFERROR(INDEX(Aufgaben!$F$8:$F$47,MATCH("In Prüfung#"&amp;5,Aufgaben!$N$8:$N$47,0))&amp;"  ·  "&amp;INDEX(Aufgaben!$E$8:$E$47,MATCH("In Prüfung#"&amp;5,Aufgaben!$N$8:$N$47,0)),"")</f>
        <v/>
      </c>
      <c r="L20" s="37" t="str">
        <f>IFERROR(INDEX(Aufgaben!$G$8:$G$47,MATCH("In Prüfung#"&amp;5,Aufgaben!$N$8:$N$47,0)),"")</f>
        <v/>
      </c>
      <c r="N20" s="36" t="str">
        <f>IFERROR(INDEX(Aufgaben!$F$8:$F$47,MATCH("Erledigt#"&amp;5,Aufgaben!$N$8:$N$47,0))&amp;"  ·  "&amp;INDEX(Aufgaben!$E$8:$E$47,MATCH("Erledigt#"&amp;5,Aufgaben!$N$8:$N$47,0)),"")</f>
        <v/>
      </c>
      <c r="O20" s="37" t="str">
        <f>IFERROR(INDEX(Aufgaben!$G$8:$G$47,MATCH("Erledigt#"&amp;5,Aufgaben!$N$8:$N$47,0)),"")</f>
        <v/>
      </c>
    </row>
    <row r="21" spans="2:15" ht="4.5" customHeight="1" x14ac:dyDescent="0.25">
      <c r="B21" s="38"/>
      <c r="C21" s="38"/>
      <c r="E21" s="38"/>
      <c r="F21" s="38"/>
      <c r="H21" s="38"/>
      <c r="I21" s="38"/>
      <c r="K21" s="38"/>
      <c r="L21" s="38"/>
      <c r="N21" s="38"/>
      <c r="O21" s="38"/>
    </row>
    <row r="22" spans="2:15" ht="19.5" customHeight="1" x14ac:dyDescent="0.25">
      <c r="B22" s="1" t="str">
        <f>IFERROR("#"&amp;INDEX(Aufgaben!$B$8:$B$47,MATCH("Backlog#"&amp;6,Aufgaben!$N$8:$N$47,0))&amp;"  "&amp;INDEX(Aufgaben!$C$8:$C$47,MATCH("Backlog#"&amp;6,Aufgaben!$N$8:$N$47,0)),"")</f>
        <v/>
      </c>
      <c r="C22" s="1"/>
      <c r="E22" s="47" t="str">
        <f>IFERROR("#"&amp;INDEX(Aufgaben!$B$8:$B$47,MATCH("In Analyse#"&amp;6,Aufgaben!$N$8:$N$47,0))&amp;"  "&amp;INDEX(Aufgaben!$C$8:$C$47,MATCH("In Analyse#"&amp;6,Aufgaben!$N$8:$N$47,0)),"")</f>
        <v/>
      </c>
      <c r="F22" s="47"/>
      <c r="H22" s="48" t="str">
        <f>IFERROR("#"&amp;INDEX(Aufgaben!$B$8:$B$47,MATCH("In Umsetzung#"&amp;6,Aufgaben!$N$8:$N$47,0))&amp;"  "&amp;INDEX(Aufgaben!$C$8:$C$47,MATCH("In Umsetzung#"&amp;6,Aufgaben!$N$8:$N$47,0)),"")</f>
        <v/>
      </c>
      <c r="I22" s="48"/>
      <c r="K22" s="49" t="str">
        <f>IFERROR("#"&amp;INDEX(Aufgaben!$B$8:$B$47,MATCH("In Prüfung#"&amp;6,Aufgaben!$N$8:$N$47,0))&amp;"  "&amp;INDEX(Aufgaben!$C$8:$C$47,MATCH("In Prüfung#"&amp;6,Aufgaben!$N$8:$N$47,0)),"")</f>
        <v/>
      </c>
      <c r="L22" s="49"/>
      <c r="N22" s="50" t="str">
        <f>IFERROR("#"&amp;INDEX(Aufgaben!$B$8:$B$47,MATCH("Erledigt#"&amp;6,Aufgaben!$N$8:$N$47,0))&amp;"  "&amp;INDEX(Aufgaben!$C$8:$C$47,MATCH("Erledigt#"&amp;6,Aufgaben!$N$8:$N$47,0)),"")</f>
        <v/>
      </c>
      <c r="O22" s="50"/>
    </row>
    <row r="23" spans="2:15" ht="15.75" customHeight="1" x14ac:dyDescent="0.25">
      <c r="B23" s="36" t="str">
        <f>IFERROR(INDEX(Aufgaben!$F$8:$F$47,MATCH("Backlog#"&amp;6,Aufgaben!$N$8:$N$47,0))&amp;"  ·  "&amp;INDEX(Aufgaben!$E$8:$E$47,MATCH("Backlog#"&amp;6,Aufgaben!$N$8:$N$47,0)),"")</f>
        <v/>
      </c>
      <c r="C23" s="37" t="str">
        <f>IFERROR(INDEX(Aufgaben!$G$8:$G$47,MATCH("Backlog#"&amp;6,Aufgaben!$N$8:$N$47,0)),"")</f>
        <v/>
      </c>
      <c r="E23" s="36" t="str">
        <f>IFERROR(INDEX(Aufgaben!$F$8:$F$47,MATCH("In Analyse#"&amp;6,Aufgaben!$N$8:$N$47,0))&amp;"  ·  "&amp;INDEX(Aufgaben!$E$8:$E$47,MATCH("In Analyse#"&amp;6,Aufgaben!$N$8:$N$47,0)),"")</f>
        <v/>
      </c>
      <c r="F23" s="37" t="str">
        <f>IFERROR(INDEX(Aufgaben!$G$8:$G$47,MATCH("In Analyse#"&amp;6,Aufgaben!$N$8:$N$47,0)),"")</f>
        <v/>
      </c>
      <c r="H23" s="36" t="str">
        <f>IFERROR(INDEX(Aufgaben!$F$8:$F$47,MATCH("In Umsetzung#"&amp;6,Aufgaben!$N$8:$N$47,0))&amp;"  ·  "&amp;INDEX(Aufgaben!$E$8:$E$47,MATCH("In Umsetzung#"&amp;6,Aufgaben!$N$8:$N$47,0)),"")</f>
        <v/>
      </c>
      <c r="I23" s="37" t="str">
        <f>IFERROR(INDEX(Aufgaben!$G$8:$G$47,MATCH("In Umsetzung#"&amp;6,Aufgaben!$N$8:$N$47,0)),"")</f>
        <v/>
      </c>
      <c r="K23" s="36" t="str">
        <f>IFERROR(INDEX(Aufgaben!$F$8:$F$47,MATCH("In Prüfung#"&amp;6,Aufgaben!$N$8:$N$47,0))&amp;"  ·  "&amp;INDEX(Aufgaben!$E$8:$E$47,MATCH("In Prüfung#"&amp;6,Aufgaben!$N$8:$N$47,0)),"")</f>
        <v/>
      </c>
      <c r="L23" s="37" t="str">
        <f>IFERROR(INDEX(Aufgaben!$G$8:$G$47,MATCH("In Prüfung#"&amp;6,Aufgaben!$N$8:$N$47,0)),"")</f>
        <v/>
      </c>
      <c r="N23" s="36" t="str">
        <f>IFERROR(INDEX(Aufgaben!$F$8:$F$47,MATCH("Erledigt#"&amp;6,Aufgaben!$N$8:$N$47,0))&amp;"  ·  "&amp;INDEX(Aufgaben!$E$8:$E$47,MATCH("Erledigt#"&amp;6,Aufgaben!$N$8:$N$47,0)),"")</f>
        <v/>
      </c>
      <c r="O23" s="37" t="str">
        <f>IFERROR(INDEX(Aufgaben!$G$8:$G$47,MATCH("Erledigt#"&amp;6,Aufgaben!$N$8:$N$47,0)),"")</f>
        <v/>
      </c>
    </row>
    <row r="24" spans="2:15" ht="4.5" customHeight="1" x14ac:dyDescent="0.25">
      <c r="B24" s="38"/>
      <c r="C24" s="38"/>
      <c r="E24" s="38"/>
      <c r="F24" s="38"/>
      <c r="H24" s="38"/>
      <c r="I24" s="38"/>
      <c r="K24" s="38"/>
      <c r="L24" s="38"/>
      <c r="N24" s="38"/>
      <c r="O24" s="38"/>
    </row>
    <row r="25" spans="2:15" ht="19.5" customHeight="1" x14ac:dyDescent="0.25">
      <c r="B25" s="1" t="str">
        <f>IFERROR("#"&amp;INDEX(Aufgaben!$B$8:$B$47,MATCH("Backlog#"&amp;7,Aufgaben!$N$8:$N$47,0))&amp;"  "&amp;INDEX(Aufgaben!$C$8:$C$47,MATCH("Backlog#"&amp;7,Aufgaben!$N$8:$N$47,0)),"")</f>
        <v/>
      </c>
      <c r="C25" s="1"/>
      <c r="E25" s="47" t="str">
        <f>IFERROR("#"&amp;INDEX(Aufgaben!$B$8:$B$47,MATCH("In Analyse#"&amp;7,Aufgaben!$N$8:$N$47,0))&amp;"  "&amp;INDEX(Aufgaben!$C$8:$C$47,MATCH("In Analyse#"&amp;7,Aufgaben!$N$8:$N$47,0)),"")</f>
        <v/>
      </c>
      <c r="F25" s="47"/>
      <c r="H25" s="48" t="str">
        <f>IFERROR("#"&amp;INDEX(Aufgaben!$B$8:$B$47,MATCH("In Umsetzung#"&amp;7,Aufgaben!$N$8:$N$47,0))&amp;"  "&amp;INDEX(Aufgaben!$C$8:$C$47,MATCH("In Umsetzung#"&amp;7,Aufgaben!$N$8:$N$47,0)),"")</f>
        <v/>
      </c>
      <c r="I25" s="48"/>
      <c r="K25" s="49" t="str">
        <f>IFERROR("#"&amp;INDEX(Aufgaben!$B$8:$B$47,MATCH("In Prüfung#"&amp;7,Aufgaben!$N$8:$N$47,0))&amp;"  "&amp;INDEX(Aufgaben!$C$8:$C$47,MATCH("In Prüfung#"&amp;7,Aufgaben!$N$8:$N$47,0)),"")</f>
        <v/>
      </c>
      <c r="L25" s="49"/>
      <c r="N25" s="50" t="str">
        <f>IFERROR("#"&amp;INDEX(Aufgaben!$B$8:$B$47,MATCH("Erledigt#"&amp;7,Aufgaben!$N$8:$N$47,0))&amp;"  "&amp;INDEX(Aufgaben!$C$8:$C$47,MATCH("Erledigt#"&amp;7,Aufgaben!$N$8:$N$47,0)),"")</f>
        <v/>
      </c>
      <c r="O25" s="50"/>
    </row>
    <row r="26" spans="2:15" ht="15.75" customHeight="1" x14ac:dyDescent="0.25">
      <c r="B26" s="36" t="str">
        <f>IFERROR(INDEX(Aufgaben!$F$8:$F$47,MATCH("Backlog#"&amp;7,Aufgaben!$N$8:$N$47,0))&amp;"  ·  "&amp;INDEX(Aufgaben!$E$8:$E$47,MATCH("Backlog#"&amp;7,Aufgaben!$N$8:$N$47,0)),"")</f>
        <v/>
      </c>
      <c r="C26" s="37" t="str">
        <f>IFERROR(INDEX(Aufgaben!$G$8:$G$47,MATCH("Backlog#"&amp;7,Aufgaben!$N$8:$N$47,0)),"")</f>
        <v/>
      </c>
      <c r="E26" s="36" t="str">
        <f>IFERROR(INDEX(Aufgaben!$F$8:$F$47,MATCH("In Analyse#"&amp;7,Aufgaben!$N$8:$N$47,0))&amp;"  ·  "&amp;INDEX(Aufgaben!$E$8:$E$47,MATCH("In Analyse#"&amp;7,Aufgaben!$N$8:$N$47,0)),"")</f>
        <v/>
      </c>
      <c r="F26" s="37" t="str">
        <f>IFERROR(INDEX(Aufgaben!$G$8:$G$47,MATCH("In Analyse#"&amp;7,Aufgaben!$N$8:$N$47,0)),"")</f>
        <v/>
      </c>
      <c r="H26" s="36" t="str">
        <f>IFERROR(INDEX(Aufgaben!$F$8:$F$47,MATCH("In Umsetzung#"&amp;7,Aufgaben!$N$8:$N$47,0))&amp;"  ·  "&amp;INDEX(Aufgaben!$E$8:$E$47,MATCH("In Umsetzung#"&amp;7,Aufgaben!$N$8:$N$47,0)),"")</f>
        <v/>
      </c>
      <c r="I26" s="37" t="str">
        <f>IFERROR(INDEX(Aufgaben!$G$8:$G$47,MATCH("In Umsetzung#"&amp;7,Aufgaben!$N$8:$N$47,0)),"")</f>
        <v/>
      </c>
      <c r="K26" s="36" t="str">
        <f>IFERROR(INDEX(Aufgaben!$F$8:$F$47,MATCH("In Prüfung#"&amp;7,Aufgaben!$N$8:$N$47,0))&amp;"  ·  "&amp;INDEX(Aufgaben!$E$8:$E$47,MATCH("In Prüfung#"&amp;7,Aufgaben!$N$8:$N$47,0)),"")</f>
        <v/>
      </c>
      <c r="L26" s="37" t="str">
        <f>IFERROR(INDEX(Aufgaben!$G$8:$G$47,MATCH("In Prüfung#"&amp;7,Aufgaben!$N$8:$N$47,0)),"")</f>
        <v/>
      </c>
      <c r="N26" s="36" t="str">
        <f>IFERROR(INDEX(Aufgaben!$F$8:$F$47,MATCH("Erledigt#"&amp;7,Aufgaben!$N$8:$N$47,0))&amp;"  ·  "&amp;INDEX(Aufgaben!$E$8:$E$47,MATCH("Erledigt#"&amp;7,Aufgaben!$N$8:$N$47,0)),"")</f>
        <v/>
      </c>
      <c r="O26" s="37" t="str">
        <f>IFERROR(INDEX(Aufgaben!$G$8:$G$47,MATCH("Erledigt#"&amp;7,Aufgaben!$N$8:$N$47,0)),"")</f>
        <v/>
      </c>
    </row>
    <row r="27" spans="2:15" ht="4.5" customHeight="1" x14ac:dyDescent="0.25">
      <c r="B27" s="38"/>
      <c r="C27" s="38"/>
      <c r="E27" s="38"/>
      <c r="F27" s="38"/>
      <c r="H27" s="38"/>
      <c r="I27" s="38"/>
      <c r="K27" s="38"/>
      <c r="L27" s="38"/>
      <c r="N27" s="38"/>
      <c r="O27" s="38"/>
    </row>
    <row r="28" spans="2:15" ht="19.5" customHeight="1" x14ac:dyDescent="0.25">
      <c r="B28" s="1" t="str">
        <f>IFERROR("#"&amp;INDEX(Aufgaben!$B$8:$B$47,MATCH("Backlog#"&amp;8,Aufgaben!$N$8:$N$47,0))&amp;"  "&amp;INDEX(Aufgaben!$C$8:$C$47,MATCH("Backlog#"&amp;8,Aufgaben!$N$8:$N$47,0)),"")</f>
        <v/>
      </c>
      <c r="C28" s="1"/>
      <c r="E28" s="47" t="str">
        <f>IFERROR("#"&amp;INDEX(Aufgaben!$B$8:$B$47,MATCH("In Analyse#"&amp;8,Aufgaben!$N$8:$N$47,0))&amp;"  "&amp;INDEX(Aufgaben!$C$8:$C$47,MATCH("In Analyse#"&amp;8,Aufgaben!$N$8:$N$47,0)),"")</f>
        <v/>
      </c>
      <c r="F28" s="47"/>
      <c r="H28" s="48" t="str">
        <f>IFERROR("#"&amp;INDEX(Aufgaben!$B$8:$B$47,MATCH("In Umsetzung#"&amp;8,Aufgaben!$N$8:$N$47,0))&amp;"  "&amp;INDEX(Aufgaben!$C$8:$C$47,MATCH("In Umsetzung#"&amp;8,Aufgaben!$N$8:$N$47,0)),"")</f>
        <v/>
      </c>
      <c r="I28" s="48"/>
      <c r="K28" s="49" t="str">
        <f>IFERROR("#"&amp;INDEX(Aufgaben!$B$8:$B$47,MATCH("In Prüfung#"&amp;8,Aufgaben!$N$8:$N$47,0))&amp;"  "&amp;INDEX(Aufgaben!$C$8:$C$47,MATCH("In Prüfung#"&amp;8,Aufgaben!$N$8:$N$47,0)),"")</f>
        <v/>
      </c>
      <c r="L28" s="49"/>
      <c r="N28" s="50" t="str">
        <f>IFERROR("#"&amp;INDEX(Aufgaben!$B$8:$B$47,MATCH("Erledigt#"&amp;8,Aufgaben!$N$8:$N$47,0))&amp;"  "&amp;INDEX(Aufgaben!$C$8:$C$47,MATCH("Erledigt#"&amp;8,Aufgaben!$N$8:$N$47,0)),"")</f>
        <v/>
      </c>
      <c r="O28" s="50"/>
    </row>
    <row r="29" spans="2:15" ht="15.75" customHeight="1" x14ac:dyDescent="0.25">
      <c r="B29" s="36" t="str">
        <f>IFERROR(INDEX(Aufgaben!$F$8:$F$47,MATCH("Backlog#"&amp;8,Aufgaben!$N$8:$N$47,0))&amp;"  ·  "&amp;INDEX(Aufgaben!$E$8:$E$47,MATCH("Backlog#"&amp;8,Aufgaben!$N$8:$N$47,0)),"")</f>
        <v/>
      </c>
      <c r="C29" s="37" t="str">
        <f>IFERROR(INDEX(Aufgaben!$G$8:$G$47,MATCH("Backlog#"&amp;8,Aufgaben!$N$8:$N$47,0)),"")</f>
        <v/>
      </c>
      <c r="E29" s="36" t="str">
        <f>IFERROR(INDEX(Aufgaben!$F$8:$F$47,MATCH("In Analyse#"&amp;8,Aufgaben!$N$8:$N$47,0))&amp;"  ·  "&amp;INDEX(Aufgaben!$E$8:$E$47,MATCH("In Analyse#"&amp;8,Aufgaben!$N$8:$N$47,0)),"")</f>
        <v/>
      </c>
      <c r="F29" s="37" t="str">
        <f>IFERROR(INDEX(Aufgaben!$G$8:$G$47,MATCH("In Analyse#"&amp;8,Aufgaben!$N$8:$N$47,0)),"")</f>
        <v/>
      </c>
      <c r="H29" s="36" t="str">
        <f>IFERROR(INDEX(Aufgaben!$F$8:$F$47,MATCH("In Umsetzung#"&amp;8,Aufgaben!$N$8:$N$47,0))&amp;"  ·  "&amp;INDEX(Aufgaben!$E$8:$E$47,MATCH("In Umsetzung#"&amp;8,Aufgaben!$N$8:$N$47,0)),"")</f>
        <v/>
      </c>
      <c r="I29" s="37" t="str">
        <f>IFERROR(INDEX(Aufgaben!$G$8:$G$47,MATCH("In Umsetzung#"&amp;8,Aufgaben!$N$8:$N$47,0)),"")</f>
        <v/>
      </c>
      <c r="K29" s="36" t="str">
        <f>IFERROR(INDEX(Aufgaben!$F$8:$F$47,MATCH("In Prüfung#"&amp;8,Aufgaben!$N$8:$N$47,0))&amp;"  ·  "&amp;INDEX(Aufgaben!$E$8:$E$47,MATCH("In Prüfung#"&amp;8,Aufgaben!$N$8:$N$47,0)),"")</f>
        <v/>
      </c>
      <c r="L29" s="37" t="str">
        <f>IFERROR(INDEX(Aufgaben!$G$8:$G$47,MATCH("In Prüfung#"&amp;8,Aufgaben!$N$8:$N$47,0)),"")</f>
        <v/>
      </c>
      <c r="N29" s="36" t="str">
        <f>IFERROR(INDEX(Aufgaben!$F$8:$F$47,MATCH("Erledigt#"&amp;8,Aufgaben!$N$8:$N$47,0))&amp;"  ·  "&amp;INDEX(Aufgaben!$E$8:$E$47,MATCH("Erledigt#"&amp;8,Aufgaben!$N$8:$N$47,0)),"")</f>
        <v/>
      </c>
      <c r="O29" s="37" t="str">
        <f>IFERROR(INDEX(Aufgaben!$G$8:$G$47,MATCH("Erledigt#"&amp;8,Aufgaben!$N$8:$N$47,0)),"")</f>
        <v/>
      </c>
    </row>
    <row r="30" spans="2:15" ht="4.5" customHeight="1" x14ac:dyDescent="0.25">
      <c r="B30" s="38"/>
      <c r="C30" s="38"/>
      <c r="E30" s="38"/>
      <c r="F30" s="38"/>
      <c r="H30" s="38"/>
      <c r="I30" s="38"/>
      <c r="K30" s="38"/>
      <c r="L30" s="38"/>
      <c r="N30" s="38"/>
      <c r="O30" s="38"/>
    </row>
    <row r="31" spans="2:15" x14ac:dyDescent="0.25">
      <c r="B31" s="38"/>
      <c r="C31" s="38"/>
      <c r="E31" s="38"/>
      <c r="F31" s="38"/>
      <c r="H31" s="38"/>
      <c r="I31" s="38"/>
      <c r="K31" s="38"/>
      <c r="L31" s="38"/>
      <c r="N31" s="38"/>
      <c r="O31" s="38"/>
    </row>
    <row r="33" spans="2:16" ht="33.75" customHeight="1" x14ac:dyDescent="0.25">
      <c r="B33" s="51" t="s">
        <v>61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</row>
  </sheetData>
  <mergeCells count="53">
    <mergeCell ref="B33:P33"/>
    <mergeCell ref="B28:C28"/>
    <mergeCell ref="E28:F28"/>
    <mergeCell ref="H28:I28"/>
    <mergeCell ref="K28:L28"/>
    <mergeCell ref="N28:O28"/>
    <mergeCell ref="B25:C25"/>
    <mergeCell ref="E25:F25"/>
    <mergeCell ref="H25:I25"/>
    <mergeCell ref="K25:L25"/>
    <mergeCell ref="N25:O25"/>
    <mergeCell ref="B22:C22"/>
    <mergeCell ref="E22:F22"/>
    <mergeCell ref="H22:I22"/>
    <mergeCell ref="K22:L22"/>
    <mergeCell ref="N22:O22"/>
    <mergeCell ref="B19:C19"/>
    <mergeCell ref="E19:F19"/>
    <mergeCell ref="H19:I19"/>
    <mergeCell ref="K19:L19"/>
    <mergeCell ref="N19:O19"/>
    <mergeCell ref="B16:C16"/>
    <mergeCell ref="E16:F16"/>
    <mergeCell ref="H16:I16"/>
    <mergeCell ref="K16:L16"/>
    <mergeCell ref="N16:O16"/>
    <mergeCell ref="B13:C13"/>
    <mergeCell ref="E13:F13"/>
    <mergeCell ref="H13:I13"/>
    <mergeCell ref="K13:L13"/>
    <mergeCell ref="N13:O13"/>
    <mergeCell ref="B10:C10"/>
    <mergeCell ref="E10:F10"/>
    <mergeCell ref="H10:I10"/>
    <mergeCell ref="K10:L10"/>
    <mergeCell ref="N10:O10"/>
    <mergeCell ref="B7:C7"/>
    <mergeCell ref="E7:F7"/>
    <mergeCell ref="H7:I7"/>
    <mergeCell ref="K7:L7"/>
    <mergeCell ref="N7:O7"/>
    <mergeCell ref="B6:C6"/>
    <mergeCell ref="E6:F6"/>
    <mergeCell ref="H6:I6"/>
    <mergeCell ref="K6:L6"/>
    <mergeCell ref="N6:O6"/>
    <mergeCell ref="B2:P2"/>
    <mergeCell ref="B3:P3"/>
    <mergeCell ref="B5:C5"/>
    <mergeCell ref="E5:F5"/>
    <mergeCell ref="H5:I5"/>
    <mergeCell ref="K5:L5"/>
    <mergeCell ref="N5:O5"/>
  </mergeCells>
  <conditionalFormatting sqref="C7:C31">
    <cfRule type="expression" dxfId="17" priority="2">
      <formula>C7="Hoch"</formula>
    </cfRule>
    <cfRule type="expression" dxfId="16" priority="3">
      <formula>C7="Mittel"</formula>
    </cfRule>
    <cfRule type="expression" dxfId="15" priority="4">
      <formula>C7="Niedrig"</formula>
    </cfRule>
  </conditionalFormatting>
  <conditionalFormatting sqref="F7:F31">
    <cfRule type="expression" dxfId="13" priority="5">
      <formula>F7="Hoch"</formula>
    </cfRule>
    <cfRule type="expression" dxfId="12" priority="6">
      <formula>F7="Mittel"</formula>
    </cfRule>
    <cfRule type="expression" dxfId="11" priority="7">
      <formula>F7="Niedrig"</formula>
    </cfRule>
  </conditionalFormatting>
  <conditionalFormatting sqref="I7:I31">
    <cfRule type="expression" dxfId="9" priority="8">
      <formula>I7="Hoch"</formula>
    </cfRule>
    <cfRule type="expression" dxfId="8" priority="9">
      <formula>I7="Mittel"</formula>
    </cfRule>
    <cfRule type="expression" dxfId="7" priority="10">
      <formula>I7="Niedrig"</formula>
    </cfRule>
  </conditionalFormatting>
  <conditionalFormatting sqref="L7:L31">
    <cfRule type="expression" dxfId="5" priority="11">
      <formula>L7="Hoch"</formula>
    </cfRule>
    <cfRule type="expression" dxfId="4" priority="12">
      <formula>L7="Mittel"</formula>
    </cfRule>
    <cfRule type="expression" dxfId="3" priority="13">
      <formula>L7="Niedrig"</formula>
    </cfRule>
  </conditionalFormatting>
  <conditionalFormatting sqref="O7:O31">
    <cfRule type="expression" dxfId="2" priority="14">
      <formula>O7="Hoch"</formula>
    </cfRule>
    <cfRule type="expression" dxfId="1" priority="15">
      <formula>O7="Mittel"</formula>
    </cfRule>
    <cfRule type="expression" dxfId="0" priority="16">
      <formula>O7="Niedrig"</formula>
    </cfRule>
  </conditionalFormatting>
  <pageMargins left="0.3" right="0.3" top="0.4" bottom="0.4" header="0.511811023622047" footer="0.511811023622047"/>
  <pageSetup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00000000-000E-0000-0100-000011000000}">
            <xm:f>COUNTIF(Aufgaben!$H$8:$H$47,"Backlog")&gt;6</xm:f>
            <x14:dxf>
              <font>
                <b/>
                <color rgb="FFFFFFFF"/>
                <name val="Calibri"/>
                <charset val="1"/>
              </font>
              <fill>
                <patternFill>
                  <bgColor rgb="FFC0392B"/>
                </patternFill>
              </fill>
            </x14:dxf>
          </x14:cfRule>
          <xm:sqref>B6:C6</xm:sqref>
        </x14:conditionalFormatting>
        <x14:conditionalFormatting xmlns:xm="http://schemas.microsoft.com/office/excel/2006/main">
          <x14:cfRule type="expression" priority="18" id="{00000000-000E-0000-0100-000012000000}">
            <xm:f>COUNTIF(Aufgaben!$H$8:$H$47,"In Analyse")&gt;3</xm:f>
            <x14:dxf>
              <font>
                <b/>
                <color rgb="FFFFFFFF"/>
                <name val="Calibri"/>
                <charset val="1"/>
              </font>
              <fill>
                <patternFill>
                  <bgColor rgb="FFC0392B"/>
                </patternFill>
              </fill>
            </x14:dxf>
          </x14:cfRule>
          <xm:sqref>E6:F6</xm:sqref>
        </x14:conditionalFormatting>
        <x14:conditionalFormatting xmlns:xm="http://schemas.microsoft.com/office/excel/2006/main">
          <x14:cfRule type="expression" priority="19" id="{00000000-000E-0000-0100-000013000000}">
            <xm:f>COUNTIF(Aufgaben!$H$8:$H$47,"In Umsetzung")&gt;4</xm:f>
            <x14:dxf>
              <font>
                <b/>
                <color rgb="FFFFFFFF"/>
                <name val="Calibri"/>
                <charset val="1"/>
              </font>
              <fill>
                <patternFill>
                  <bgColor rgb="FFC0392B"/>
                </patternFill>
              </fill>
            </x14:dxf>
          </x14:cfRule>
          <xm:sqref>H6:I6</xm:sqref>
        </x14:conditionalFormatting>
        <x14:conditionalFormatting xmlns:xm="http://schemas.microsoft.com/office/excel/2006/main">
          <x14:cfRule type="expression" priority="20" id="{00000000-000E-0000-0100-000014000000}">
            <xm:f>COUNTIF(Aufgaben!$H$8:$H$47,"In Prüfung")&gt;3</xm:f>
            <x14:dxf>
              <font>
                <b/>
                <color rgb="FFFFFFFF"/>
                <name val="Calibri"/>
                <charset val="1"/>
              </font>
              <fill>
                <patternFill>
                  <bgColor rgb="FFC0392B"/>
                </patternFill>
              </fill>
            </x14:dxf>
          </x14:cfRule>
          <xm:sqref>K6:L6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4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7" customWidth="1"/>
    <col min="3" max="3" width="30" customWidth="1"/>
    <col min="4" max="4" width="40" customWidth="1"/>
    <col min="5" max="5" width="17" customWidth="1"/>
    <col min="6" max="6" width="16" customWidth="1"/>
    <col min="7" max="7" width="12" customWidth="1"/>
    <col min="8" max="8" width="17" customWidth="1"/>
    <col min="9" max="10" width="13" customWidth="1"/>
    <col min="11" max="11" width="11" customWidth="1"/>
    <col min="12" max="12" width="14" customWidth="1"/>
    <col min="13" max="13" width="2.42578125" customWidth="1"/>
    <col min="14" max="14" width="18" customWidth="1"/>
  </cols>
  <sheetData>
    <row r="2" spans="2:14" ht="33.7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2:14" ht="19.5" customHeight="1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5" spans="2:14" ht="30" customHeight="1" x14ac:dyDescent="0.25"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7" spans="2:14" ht="25.5" customHeight="1" x14ac:dyDescent="0.25">
      <c r="B7" s="15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N7" s="16" t="s">
        <v>14</v>
      </c>
    </row>
    <row r="8" spans="2:14" ht="30" customHeight="1" x14ac:dyDescent="0.25">
      <c r="B8" s="17">
        <v>1</v>
      </c>
      <c r="C8" s="18" t="s">
        <v>15</v>
      </c>
      <c r="D8" s="19" t="s">
        <v>16</v>
      </c>
      <c r="E8" s="20" t="s">
        <v>17</v>
      </c>
      <c r="F8" s="20" t="s">
        <v>18</v>
      </c>
      <c r="G8" s="21" t="s">
        <v>19</v>
      </c>
      <c r="H8" s="21" t="s">
        <v>20</v>
      </c>
      <c r="I8" s="22">
        <v>46055</v>
      </c>
      <c r="J8" s="22">
        <v>46346</v>
      </c>
      <c r="K8" s="23">
        <f t="shared" ref="K8:K47" ca="1" si="0">IF(OR($J8="",$H8=""),"",IF($H8="Erledigt","fertig",$J8-TODAY()))</f>
        <v>40</v>
      </c>
      <c r="L8" s="24" t="str">
        <f t="shared" ref="L8:L47" ca="1" si="1">IF($H8="Erledigt","Erledigt",IF($K8="","",IF($K8&lt;0,"Überfällig",IF($K8&lt;=3,"Dringend","Im Plan"))))</f>
        <v>Im Plan</v>
      </c>
      <c r="N8" s="25" t="str">
        <f>IF($H8="","",$H8&amp;"#"&amp;COUNTIF($H$8:$H8,$H8))</f>
        <v>Backlog#1</v>
      </c>
    </row>
    <row r="9" spans="2:14" ht="30" customHeight="1" x14ac:dyDescent="0.25">
      <c r="B9" s="26">
        <v>2</v>
      </c>
      <c r="C9" s="27" t="s">
        <v>21</v>
      </c>
      <c r="D9" s="28" t="s">
        <v>22</v>
      </c>
      <c r="E9" s="29" t="s">
        <v>17</v>
      </c>
      <c r="F9" s="29" t="s">
        <v>23</v>
      </c>
      <c r="G9" s="30" t="s">
        <v>24</v>
      </c>
      <c r="H9" s="30" t="s">
        <v>25</v>
      </c>
      <c r="I9" s="31">
        <v>46062</v>
      </c>
      <c r="J9" s="31">
        <v>46295</v>
      </c>
      <c r="K9" s="23">
        <f t="shared" ca="1" si="0"/>
        <v>-11</v>
      </c>
      <c r="L9" s="24" t="str">
        <f t="shared" ca="1" si="1"/>
        <v>Überfällig</v>
      </c>
      <c r="N9" s="25" t="str">
        <f>IF($H9="","",$H9&amp;"#"&amp;COUNTIF($H$8:$H9,$H9))</f>
        <v>In Analyse#1</v>
      </c>
    </row>
    <row r="10" spans="2:14" ht="30" customHeight="1" x14ac:dyDescent="0.25">
      <c r="B10" s="17">
        <v>3</v>
      </c>
      <c r="C10" s="18" t="s">
        <v>26</v>
      </c>
      <c r="D10" s="19" t="s">
        <v>27</v>
      </c>
      <c r="E10" s="20" t="s">
        <v>28</v>
      </c>
      <c r="F10" s="20" t="s">
        <v>29</v>
      </c>
      <c r="G10" s="21" t="s">
        <v>19</v>
      </c>
      <c r="H10" s="21" t="s">
        <v>25</v>
      </c>
      <c r="I10" s="22">
        <v>46083</v>
      </c>
      <c r="J10" s="22">
        <v>46360</v>
      </c>
      <c r="K10" s="23">
        <f t="shared" ca="1" si="0"/>
        <v>54</v>
      </c>
      <c r="L10" s="24" t="str">
        <f t="shared" ca="1" si="1"/>
        <v>Im Plan</v>
      </c>
      <c r="N10" s="25" t="str">
        <f>IF($H10="","",$H10&amp;"#"&amp;COUNTIF($H$8:$H10,$H10))</f>
        <v>In Analyse#2</v>
      </c>
    </row>
    <row r="11" spans="2:14" ht="30" customHeight="1" x14ac:dyDescent="0.25">
      <c r="B11" s="26">
        <v>4</v>
      </c>
      <c r="C11" s="27" t="s">
        <v>30</v>
      </c>
      <c r="D11" s="28" t="s">
        <v>31</v>
      </c>
      <c r="E11" s="29" t="s">
        <v>17</v>
      </c>
      <c r="F11" s="29" t="s">
        <v>32</v>
      </c>
      <c r="G11" s="30" t="s">
        <v>19</v>
      </c>
      <c r="H11" s="30" t="s">
        <v>33</v>
      </c>
      <c r="I11" s="31">
        <v>46118</v>
      </c>
      <c r="J11" s="31">
        <v>46304</v>
      </c>
      <c r="K11" s="23">
        <f t="shared" ca="1" si="0"/>
        <v>-2</v>
      </c>
      <c r="L11" s="24" t="str">
        <f t="shared" ca="1" si="1"/>
        <v>Überfällig</v>
      </c>
      <c r="N11" s="25" t="str">
        <f>IF($H11="","",$H11&amp;"#"&amp;COUNTIF($H$8:$H11,$H11))</f>
        <v>In Umsetzung#1</v>
      </c>
    </row>
    <row r="12" spans="2:14" ht="30" customHeight="1" x14ac:dyDescent="0.25">
      <c r="B12" s="17">
        <v>5</v>
      </c>
      <c r="C12" s="18" t="s">
        <v>34</v>
      </c>
      <c r="D12" s="19" t="s">
        <v>35</v>
      </c>
      <c r="E12" s="20" t="s">
        <v>36</v>
      </c>
      <c r="F12" s="20" t="s">
        <v>37</v>
      </c>
      <c r="G12" s="21" t="s">
        <v>38</v>
      </c>
      <c r="H12" s="21" t="s">
        <v>33</v>
      </c>
      <c r="I12" s="22">
        <v>46153</v>
      </c>
      <c r="J12" s="22">
        <v>46374</v>
      </c>
      <c r="K12" s="23">
        <f t="shared" ca="1" si="0"/>
        <v>68</v>
      </c>
      <c r="L12" s="24" t="str">
        <f t="shared" ca="1" si="1"/>
        <v>Im Plan</v>
      </c>
      <c r="N12" s="25" t="str">
        <f>IF($H12="","",$H12&amp;"#"&amp;COUNTIF($H$8:$H12,$H12))</f>
        <v>In Umsetzung#2</v>
      </c>
    </row>
    <row r="13" spans="2:14" ht="30" customHeight="1" x14ac:dyDescent="0.25">
      <c r="B13" s="26">
        <v>6</v>
      </c>
      <c r="C13" s="27" t="s">
        <v>39</v>
      </c>
      <c r="D13" s="28" t="s">
        <v>40</v>
      </c>
      <c r="E13" s="29" t="s">
        <v>28</v>
      </c>
      <c r="F13" s="29" t="s">
        <v>23</v>
      </c>
      <c r="G13" s="30" t="s">
        <v>24</v>
      </c>
      <c r="H13" s="30" t="s">
        <v>33</v>
      </c>
      <c r="I13" s="31">
        <v>46174</v>
      </c>
      <c r="J13" s="31">
        <v>46218</v>
      </c>
      <c r="K13" s="23">
        <f t="shared" ca="1" si="0"/>
        <v>-88</v>
      </c>
      <c r="L13" s="24" t="str">
        <f t="shared" ca="1" si="1"/>
        <v>Überfällig</v>
      </c>
      <c r="N13" s="25" t="str">
        <f>IF($H13="","",$H13&amp;"#"&amp;COUNTIF($H$8:$H13,$H13))</f>
        <v>In Umsetzung#3</v>
      </c>
    </row>
    <row r="14" spans="2:14" ht="30" customHeight="1" x14ac:dyDescent="0.25">
      <c r="B14" s="17">
        <v>7</v>
      </c>
      <c r="C14" s="18" t="s">
        <v>41</v>
      </c>
      <c r="D14" s="19" t="s">
        <v>42</v>
      </c>
      <c r="E14" s="20" t="s">
        <v>36</v>
      </c>
      <c r="F14" s="20" t="s">
        <v>32</v>
      </c>
      <c r="G14" s="21" t="s">
        <v>24</v>
      </c>
      <c r="H14" s="21" t="s">
        <v>43</v>
      </c>
      <c r="I14" s="22">
        <v>46188</v>
      </c>
      <c r="J14" s="22">
        <v>46332</v>
      </c>
      <c r="K14" s="23">
        <f t="shared" ca="1" si="0"/>
        <v>26</v>
      </c>
      <c r="L14" s="24" t="str">
        <f t="shared" ca="1" si="1"/>
        <v>Im Plan</v>
      </c>
      <c r="N14" s="25" t="str">
        <f>IF($H14="","",$H14&amp;"#"&amp;COUNTIF($H$8:$H14,$H14))</f>
        <v>In Prüfung#1</v>
      </c>
    </row>
    <row r="15" spans="2:14" ht="30" customHeight="1" x14ac:dyDescent="0.25">
      <c r="B15" s="26">
        <v>8</v>
      </c>
      <c r="C15" s="27" t="s">
        <v>44</v>
      </c>
      <c r="D15" s="28" t="s">
        <v>45</v>
      </c>
      <c r="E15" s="29" t="s">
        <v>17</v>
      </c>
      <c r="F15" s="29" t="s">
        <v>18</v>
      </c>
      <c r="G15" s="30" t="s">
        <v>19</v>
      </c>
      <c r="H15" s="30" t="s">
        <v>43</v>
      </c>
      <c r="I15" s="31">
        <v>46209</v>
      </c>
      <c r="J15" s="31">
        <v>46248</v>
      </c>
      <c r="K15" s="23">
        <f t="shared" ca="1" si="0"/>
        <v>-58</v>
      </c>
      <c r="L15" s="24" t="str">
        <f t="shared" ca="1" si="1"/>
        <v>Überfällig</v>
      </c>
      <c r="N15" s="25" t="str">
        <f>IF($H15="","",$H15&amp;"#"&amp;COUNTIF($H$8:$H15,$H15))</f>
        <v>In Prüfung#2</v>
      </c>
    </row>
    <row r="16" spans="2:14" ht="30" customHeight="1" x14ac:dyDescent="0.25">
      <c r="B16" s="17">
        <v>9</v>
      </c>
      <c r="C16" s="18" t="s">
        <v>46</v>
      </c>
      <c r="D16" s="19" t="s">
        <v>47</v>
      </c>
      <c r="E16" s="20" t="s">
        <v>28</v>
      </c>
      <c r="F16" s="20" t="s">
        <v>29</v>
      </c>
      <c r="G16" s="21" t="s">
        <v>38</v>
      </c>
      <c r="H16" s="21" t="s">
        <v>48</v>
      </c>
      <c r="I16" s="22">
        <v>46030</v>
      </c>
      <c r="J16" s="22">
        <v>46036</v>
      </c>
      <c r="K16" s="23" t="str">
        <f t="shared" ca="1" si="0"/>
        <v>fertig</v>
      </c>
      <c r="L16" s="24" t="str">
        <f t="shared" si="1"/>
        <v>Erledigt</v>
      </c>
      <c r="N16" s="25" t="str">
        <f>IF($H16="","",$H16&amp;"#"&amp;COUNTIF($H$8:$H16,$H16))</f>
        <v>Erledigt#1</v>
      </c>
    </row>
    <row r="17" spans="2:14" ht="30" customHeight="1" x14ac:dyDescent="0.25">
      <c r="B17" s="26">
        <v>10</v>
      </c>
      <c r="C17" s="27" t="s">
        <v>49</v>
      </c>
      <c r="D17" s="28" t="s">
        <v>50</v>
      </c>
      <c r="E17" s="29" t="s">
        <v>36</v>
      </c>
      <c r="F17" s="29" t="s">
        <v>37</v>
      </c>
      <c r="G17" s="30" t="s">
        <v>38</v>
      </c>
      <c r="H17" s="30" t="s">
        <v>48</v>
      </c>
      <c r="I17" s="31">
        <v>46028</v>
      </c>
      <c r="J17" s="31">
        <v>46031</v>
      </c>
      <c r="K17" s="23" t="str">
        <f t="shared" ca="1" si="0"/>
        <v>fertig</v>
      </c>
      <c r="L17" s="24" t="str">
        <f t="shared" si="1"/>
        <v>Erledigt</v>
      </c>
      <c r="N17" s="25" t="str">
        <f>IF($H17="","",$H17&amp;"#"&amp;COUNTIF($H$8:$H17,$H17))</f>
        <v>Erledigt#2</v>
      </c>
    </row>
    <row r="18" spans="2:14" ht="30" customHeight="1" x14ac:dyDescent="0.25">
      <c r="B18" s="17">
        <v>11</v>
      </c>
      <c r="C18" s="18" t="s">
        <v>51</v>
      </c>
      <c r="D18" s="19" t="s">
        <v>52</v>
      </c>
      <c r="E18" s="20" t="s">
        <v>17</v>
      </c>
      <c r="F18" s="20" t="s">
        <v>23</v>
      </c>
      <c r="G18" s="21" t="s">
        <v>19</v>
      </c>
      <c r="H18" s="21" t="s">
        <v>20</v>
      </c>
      <c r="I18" s="22">
        <v>46237</v>
      </c>
      <c r="J18" s="22">
        <v>46402</v>
      </c>
      <c r="K18" s="23">
        <f t="shared" ca="1" si="0"/>
        <v>96</v>
      </c>
      <c r="L18" s="24" t="str">
        <f t="shared" ca="1" si="1"/>
        <v>Im Plan</v>
      </c>
      <c r="N18" s="25" t="str">
        <f>IF($H18="","",$H18&amp;"#"&amp;COUNTIF($H$8:$H18,$H18))</f>
        <v>Backlog#2</v>
      </c>
    </row>
    <row r="19" spans="2:14" ht="30" customHeight="1" x14ac:dyDescent="0.25">
      <c r="B19" s="26">
        <v>12</v>
      </c>
      <c r="C19" s="27" t="s">
        <v>53</v>
      </c>
      <c r="D19" s="28" t="s">
        <v>54</v>
      </c>
      <c r="E19" s="29" t="s">
        <v>28</v>
      </c>
      <c r="F19" s="29" t="s">
        <v>18</v>
      </c>
      <c r="G19" s="30" t="s">
        <v>24</v>
      </c>
      <c r="H19" s="30" t="s">
        <v>20</v>
      </c>
      <c r="I19" s="31">
        <v>46272</v>
      </c>
      <c r="J19" s="31">
        <v>46325</v>
      </c>
      <c r="K19" s="23">
        <f t="shared" ca="1" si="0"/>
        <v>19</v>
      </c>
      <c r="L19" s="24" t="str">
        <f t="shared" ca="1" si="1"/>
        <v>Im Plan</v>
      </c>
      <c r="N19" s="25" t="str">
        <f>IF($H19="","",$H19&amp;"#"&amp;COUNTIF($H$8:$H19,$H19))</f>
        <v>Backlog#3</v>
      </c>
    </row>
    <row r="20" spans="2:14" ht="30" customHeight="1" x14ac:dyDescent="0.25">
      <c r="B20" s="20"/>
      <c r="C20" s="32"/>
      <c r="D20" s="32"/>
      <c r="E20" s="32"/>
      <c r="F20" s="32"/>
      <c r="G20" s="32"/>
      <c r="H20" s="32"/>
      <c r="I20" s="33"/>
      <c r="J20" s="33"/>
      <c r="K20" s="23" t="str">
        <f t="shared" ca="1" si="0"/>
        <v/>
      </c>
      <c r="L20" s="24" t="str">
        <f t="shared" ca="1" si="1"/>
        <v/>
      </c>
      <c r="N20" s="25" t="str">
        <f>IF($H20="","",$H20&amp;"#"&amp;COUNTIF($H$8:$H20,$H20))</f>
        <v/>
      </c>
    </row>
    <row r="21" spans="2:14" ht="30" customHeight="1" x14ac:dyDescent="0.25">
      <c r="B21" s="29"/>
      <c r="C21" s="34"/>
      <c r="D21" s="34"/>
      <c r="E21" s="34"/>
      <c r="F21" s="34"/>
      <c r="G21" s="34"/>
      <c r="H21" s="34"/>
      <c r="I21" s="35"/>
      <c r="J21" s="35"/>
      <c r="K21" s="23" t="str">
        <f t="shared" ca="1" si="0"/>
        <v/>
      </c>
      <c r="L21" s="24" t="str">
        <f t="shared" ca="1" si="1"/>
        <v/>
      </c>
      <c r="N21" s="25" t="str">
        <f>IF($H21="","",$H21&amp;"#"&amp;COUNTIF($H$8:$H21,$H21))</f>
        <v/>
      </c>
    </row>
    <row r="22" spans="2:14" ht="30" customHeight="1" x14ac:dyDescent="0.25">
      <c r="B22" s="20"/>
      <c r="C22" s="32"/>
      <c r="D22" s="32"/>
      <c r="E22" s="32"/>
      <c r="F22" s="32"/>
      <c r="G22" s="32"/>
      <c r="H22" s="32"/>
      <c r="I22" s="33"/>
      <c r="J22" s="33"/>
      <c r="K22" s="23" t="str">
        <f t="shared" ca="1" si="0"/>
        <v/>
      </c>
      <c r="L22" s="24" t="str">
        <f t="shared" ca="1" si="1"/>
        <v/>
      </c>
      <c r="N22" s="25" t="str">
        <f>IF($H22="","",$H22&amp;"#"&amp;COUNTIF($H$8:$H22,$H22))</f>
        <v/>
      </c>
    </row>
    <row r="23" spans="2:14" ht="30" customHeight="1" x14ac:dyDescent="0.25">
      <c r="B23" s="29"/>
      <c r="C23" s="34"/>
      <c r="D23" s="34"/>
      <c r="E23" s="34"/>
      <c r="F23" s="34"/>
      <c r="G23" s="34"/>
      <c r="H23" s="34"/>
      <c r="I23" s="35"/>
      <c r="J23" s="35"/>
      <c r="K23" s="23" t="str">
        <f t="shared" ca="1" si="0"/>
        <v/>
      </c>
      <c r="L23" s="24" t="str">
        <f t="shared" ca="1" si="1"/>
        <v/>
      </c>
      <c r="N23" s="25" t="str">
        <f>IF($H23="","",$H23&amp;"#"&amp;COUNTIF($H$8:$H23,$H23))</f>
        <v/>
      </c>
    </row>
    <row r="24" spans="2:14" ht="30" customHeight="1" x14ac:dyDescent="0.25">
      <c r="B24" s="20"/>
      <c r="C24" s="32"/>
      <c r="D24" s="32"/>
      <c r="E24" s="32"/>
      <c r="F24" s="32"/>
      <c r="G24" s="32"/>
      <c r="H24" s="32"/>
      <c r="I24" s="33"/>
      <c r="J24" s="33"/>
      <c r="K24" s="23" t="str">
        <f t="shared" ca="1" si="0"/>
        <v/>
      </c>
      <c r="L24" s="24" t="str">
        <f t="shared" ca="1" si="1"/>
        <v/>
      </c>
      <c r="N24" s="25" t="str">
        <f>IF($H24="","",$H24&amp;"#"&amp;COUNTIF($H$8:$H24,$H24))</f>
        <v/>
      </c>
    </row>
    <row r="25" spans="2:14" ht="30" customHeight="1" x14ac:dyDescent="0.25">
      <c r="B25" s="29"/>
      <c r="C25" s="34"/>
      <c r="D25" s="34"/>
      <c r="E25" s="34"/>
      <c r="F25" s="34"/>
      <c r="G25" s="34"/>
      <c r="H25" s="34"/>
      <c r="I25" s="35"/>
      <c r="J25" s="35"/>
      <c r="K25" s="23" t="str">
        <f t="shared" ca="1" si="0"/>
        <v/>
      </c>
      <c r="L25" s="24" t="str">
        <f t="shared" ca="1" si="1"/>
        <v/>
      </c>
      <c r="N25" s="25" t="str">
        <f>IF($H25="","",$H25&amp;"#"&amp;COUNTIF($H$8:$H25,$H25))</f>
        <v/>
      </c>
    </row>
    <row r="26" spans="2:14" ht="30" customHeight="1" x14ac:dyDescent="0.25">
      <c r="B26" s="20"/>
      <c r="C26" s="32"/>
      <c r="D26" s="32"/>
      <c r="E26" s="32"/>
      <c r="F26" s="32"/>
      <c r="G26" s="32"/>
      <c r="H26" s="32"/>
      <c r="I26" s="33"/>
      <c r="J26" s="33"/>
      <c r="K26" s="23" t="str">
        <f t="shared" ca="1" si="0"/>
        <v/>
      </c>
      <c r="L26" s="24" t="str">
        <f t="shared" ca="1" si="1"/>
        <v/>
      </c>
      <c r="N26" s="25" t="str">
        <f>IF($H26="","",$H26&amp;"#"&amp;COUNTIF($H$8:$H26,$H26))</f>
        <v/>
      </c>
    </row>
    <row r="27" spans="2:14" ht="30" customHeight="1" x14ac:dyDescent="0.25">
      <c r="B27" s="29"/>
      <c r="C27" s="34"/>
      <c r="D27" s="34"/>
      <c r="E27" s="34"/>
      <c r="F27" s="34"/>
      <c r="G27" s="34"/>
      <c r="H27" s="34"/>
      <c r="I27" s="35"/>
      <c r="J27" s="35"/>
      <c r="K27" s="23" t="str">
        <f t="shared" ca="1" si="0"/>
        <v/>
      </c>
      <c r="L27" s="24" t="str">
        <f t="shared" ca="1" si="1"/>
        <v/>
      </c>
      <c r="N27" s="25" t="str">
        <f>IF($H27="","",$H27&amp;"#"&amp;COUNTIF($H$8:$H27,$H27))</f>
        <v/>
      </c>
    </row>
    <row r="28" spans="2:14" ht="30" customHeight="1" x14ac:dyDescent="0.25">
      <c r="B28" s="20"/>
      <c r="C28" s="32"/>
      <c r="D28" s="32"/>
      <c r="E28" s="32"/>
      <c r="F28" s="32"/>
      <c r="G28" s="32"/>
      <c r="H28" s="32"/>
      <c r="I28" s="33"/>
      <c r="J28" s="33"/>
      <c r="K28" s="23" t="str">
        <f t="shared" ca="1" si="0"/>
        <v/>
      </c>
      <c r="L28" s="24" t="str">
        <f t="shared" ca="1" si="1"/>
        <v/>
      </c>
      <c r="N28" s="25" t="str">
        <f>IF($H28="","",$H28&amp;"#"&amp;COUNTIF($H$8:$H28,$H28))</f>
        <v/>
      </c>
    </row>
    <row r="29" spans="2:14" ht="30" customHeight="1" x14ac:dyDescent="0.25">
      <c r="B29" s="29"/>
      <c r="C29" s="34"/>
      <c r="D29" s="34"/>
      <c r="E29" s="34"/>
      <c r="F29" s="34"/>
      <c r="G29" s="34"/>
      <c r="H29" s="34"/>
      <c r="I29" s="35"/>
      <c r="J29" s="35"/>
      <c r="K29" s="23" t="str">
        <f t="shared" ca="1" si="0"/>
        <v/>
      </c>
      <c r="L29" s="24" t="str">
        <f t="shared" ca="1" si="1"/>
        <v/>
      </c>
      <c r="N29" s="25" t="str">
        <f>IF($H29="","",$H29&amp;"#"&amp;COUNTIF($H$8:$H29,$H29))</f>
        <v/>
      </c>
    </row>
    <row r="30" spans="2:14" ht="30" customHeight="1" x14ac:dyDescent="0.25">
      <c r="B30" s="20"/>
      <c r="C30" s="32"/>
      <c r="D30" s="32"/>
      <c r="E30" s="32"/>
      <c r="F30" s="32"/>
      <c r="G30" s="32"/>
      <c r="H30" s="32"/>
      <c r="I30" s="33"/>
      <c r="J30" s="33"/>
      <c r="K30" s="23" t="str">
        <f t="shared" ca="1" si="0"/>
        <v/>
      </c>
      <c r="L30" s="24" t="str">
        <f t="shared" ca="1" si="1"/>
        <v/>
      </c>
      <c r="N30" s="25" t="str">
        <f>IF($H30="","",$H30&amp;"#"&amp;COUNTIF($H$8:$H30,$H30))</f>
        <v/>
      </c>
    </row>
    <row r="31" spans="2:14" ht="30" customHeight="1" x14ac:dyDescent="0.25">
      <c r="B31" s="29"/>
      <c r="C31" s="34"/>
      <c r="D31" s="34"/>
      <c r="E31" s="34"/>
      <c r="F31" s="34"/>
      <c r="G31" s="34"/>
      <c r="H31" s="34"/>
      <c r="I31" s="35"/>
      <c r="J31" s="35"/>
      <c r="K31" s="23" t="str">
        <f t="shared" ca="1" si="0"/>
        <v/>
      </c>
      <c r="L31" s="24" t="str">
        <f t="shared" ca="1" si="1"/>
        <v/>
      </c>
      <c r="N31" s="25" t="str">
        <f>IF($H31="","",$H31&amp;"#"&amp;COUNTIF($H$8:$H31,$H31))</f>
        <v/>
      </c>
    </row>
    <row r="32" spans="2:14" ht="30" customHeight="1" x14ac:dyDescent="0.25">
      <c r="B32" s="20"/>
      <c r="C32" s="32"/>
      <c r="D32" s="32"/>
      <c r="E32" s="32"/>
      <c r="F32" s="32"/>
      <c r="G32" s="32"/>
      <c r="H32" s="32"/>
      <c r="I32" s="33"/>
      <c r="J32" s="33"/>
      <c r="K32" s="23" t="str">
        <f t="shared" ca="1" si="0"/>
        <v/>
      </c>
      <c r="L32" s="24" t="str">
        <f t="shared" ca="1" si="1"/>
        <v/>
      </c>
      <c r="N32" s="25" t="str">
        <f>IF($H32="","",$H32&amp;"#"&amp;COUNTIF($H$8:$H32,$H32))</f>
        <v/>
      </c>
    </row>
    <row r="33" spans="2:14" ht="30" customHeight="1" x14ac:dyDescent="0.25">
      <c r="B33" s="29"/>
      <c r="C33" s="34"/>
      <c r="D33" s="34"/>
      <c r="E33" s="34"/>
      <c r="F33" s="34"/>
      <c r="G33" s="34"/>
      <c r="H33" s="34"/>
      <c r="I33" s="35"/>
      <c r="J33" s="35"/>
      <c r="K33" s="23" t="str">
        <f t="shared" ca="1" si="0"/>
        <v/>
      </c>
      <c r="L33" s="24" t="str">
        <f t="shared" ca="1" si="1"/>
        <v/>
      </c>
      <c r="N33" s="25" t="str">
        <f>IF($H33="","",$H33&amp;"#"&amp;COUNTIF($H$8:$H33,$H33))</f>
        <v/>
      </c>
    </row>
    <row r="34" spans="2:14" ht="30" customHeight="1" x14ac:dyDescent="0.25">
      <c r="B34" s="20"/>
      <c r="C34" s="32"/>
      <c r="D34" s="32"/>
      <c r="E34" s="32"/>
      <c r="F34" s="32"/>
      <c r="G34" s="32"/>
      <c r="H34" s="32"/>
      <c r="I34" s="33"/>
      <c r="J34" s="33"/>
      <c r="K34" s="23" t="str">
        <f t="shared" ca="1" si="0"/>
        <v/>
      </c>
      <c r="L34" s="24" t="str">
        <f t="shared" ca="1" si="1"/>
        <v/>
      </c>
      <c r="N34" s="25" t="str">
        <f>IF($H34="","",$H34&amp;"#"&amp;COUNTIF($H$8:$H34,$H34))</f>
        <v/>
      </c>
    </row>
    <row r="35" spans="2:14" ht="30" customHeight="1" x14ac:dyDescent="0.25">
      <c r="B35" s="29"/>
      <c r="C35" s="34"/>
      <c r="D35" s="34"/>
      <c r="E35" s="34"/>
      <c r="F35" s="34"/>
      <c r="G35" s="34"/>
      <c r="H35" s="34"/>
      <c r="I35" s="35"/>
      <c r="J35" s="35"/>
      <c r="K35" s="23" t="str">
        <f t="shared" ca="1" si="0"/>
        <v/>
      </c>
      <c r="L35" s="24" t="str">
        <f t="shared" ca="1" si="1"/>
        <v/>
      </c>
      <c r="N35" s="25" t="str">
        <f>IF($H35="","",$H35&amp;"#"&amp;COUNTIF($H$8:$H35,$H35))</f>
        <v/>
      </c>
    </row>
    <row r="36" spans="2:14" ht="30" customHeight="1" x14ac:dyDescent="0.25">
      <c r="B36" s="20"/>
      <c r="C36" s="32"/>
      <c r="D36" s="32"/>
      <c r="E36" s="32"/>
      <c r="F36" s="32"/>
      <c r="G36" s="32"/>
      <c r="H36" s="32"/>
      <c r="I36" s="33"/>
      <c r="J36" s="33"/>
      <c r="K36" s="23" t="str">
        <f t="shared" ca="1" si="0"/>
        <v/>
      </c>
      <c r="L36" s="24" t="str">
        <f t="shared" ca="1" si="1"/>
        <v/>
      </c>
      <c r="N36" s="25" t="str">
        <f>IF($H36="","",$H36&amp;"#"&amp;COUNTIF($H$8:$H36,$H36))</f>
        <v/>
      </c>
    </row>
    <row r="37" spans="2:14" ht="30" customHeight="1" x14ac:dyDescent="0.25">
      <c r="B37" s="29"/>
      <c r="C37" s="34"/>
      <c r="D37" s="34"/>
      <c r="E37" s="34"/>
      <c r="F37" s="34"/>
      <c r="G37" s="34"/>
      <c r="H37" s="34"/>
      <c r="I37" s="35"/>
      <c r="J37" s="35"/>
      <c r="K37" s="23" t="str">
        <f t="shared" ca="1" si="0"/>
        <v/>
      </c>
      <c r="L37" s="24" t="str">
        <f t="shared" ca="1" si="1"/>
        <v/>
      </c>
      <c r="N37" s="25" t="str">
        <f>IF($H37="","",$H37&amp;"#"&amp;COUNTIF($H$8:$H37,$H37))</f>
        <v/>
      </c>
    </row>
    <row r="38" spans="2:14" ht="30" customHeight="1" x14ac:dyDescent="0.25">
      <c r="B38" s="20"/>
      <c r="C38" s="32"/>
      <c r="D38" s="32"/>
      <c r="E38" s="32"/>
      <c r="F38" s="32"/>
      <c r="G38" s="32"/>
      <c r="H38" s="32"/>
      <c r="I38" s="33"/>
      <c r="J38" s="33"/>
      <c r="K38" s="23" t="str">
        <f t="shared" ca="1" si="0"/>
        <v/>
      </c>
      <c r="L38" s="24" t="str">
        <f t="shared" ca="1" si="1"/>
        <v/>
      </c>
      <c r="N38" s="25" t="str">
        <f>IF($H38="","",$H38&amp;"#"&amp;COUNTIF($H$8:$H38,$H38))</f>
        <v/>
      </c>
    </row>
    <row r="39" spans="2:14" ht="30" customHeight="1" x14ac:dyDescent="0.25">
      <c r="B39" s="29"/>
      <c r="C39" s="34"/>
      <c r="D39" s="34"/>
      <c r="E39" s="34"/>
      <c r="F39" s="34"/>
      <c r="G39" s="34"/>
      <c r="H39" s="34"/>
      <c r="I39" s="35"/>
      <c r="J39" s="35"/>
      <c r="K39" s="23" t="str">
        <f t="shared" ca="1" si="0"/>
        <v/>
      </c>
      <c r="L39" s="24" t="str">
        <f t="shared" ca="1" si="1"/>
        <v/>
      </c>
      <c r="N39" s="25" t="str">
        <f>IF($H39="","",$H39&amp;"#"&amp;COUNTIF($H$8:$H39,$H39))</f>
        <v/>
      </c>
    </row>
    <row r="40" spans="2:14" ht="30" customHeight="1" x14ac:dyDescent="0.25">
      <c r="B40" s="20"/>
      <c r="C40" s="32"/>
      <c r="D40" s="32"/>
      <c r="E40" s="32"/>
      <c r="F40" s="32"/>
      <c r="G40" s="32"/>
      <c r="H40" s="32"/>
      <c r="I40" s="33"/>
      <c r="J40" s="33"/>
      <c r="K40" s="23" t="str">
        <f t="shared" ca="1" si="0"/>
        <v/>
      </c>
      <c r="L40" s="24" t="str">
        <f t="shared" ca="1" si="1"/>
        <v/>
      </c>
      <c r="N40" s="25" t="str">
        <f>IF($H40="","",$H40&amp;"#"&amp;COUNTIF($H$8:$H40,$H40))</f>
        <v/>
      </c>
    </row>
    <row r="41" spans="2:14" ht="30" customHeight="1" x14ac:dyDescent="0.25">
      <c r="B41" s="29"/>
      <c r="C41" s="34"/>
      <c r="D41" s="34"/>
      <c r="E41" s="34"/>
      <c r="F41" s="34"/>
      <c r="G41" s="34"/>
      <c r="H41" s="34"/>
      <c r="I41" s="35"/>
      <c r="J41" s="35"/>
      <c r="K41" s="23" t="str">
        <f t="shared" ca="1" si="0"/>
        <v/>
      </c>
      <c r="L41" s="24" t="str">
        <f t="shared" ca="1" si="1"/>
        <v/>
      </c>
      <c r="N41" s="25" t="str">
        <f>IF($H41="","",$H41&amp;"#"&amp;COUNTIF($H$8:$H41,$H41))</f>
        <v/>
      </c>
    </row>
    <row r="42" spans="2:14" ht="30" customHeight="1" x14ac:dyDescent="0.25">
      <c r="B42" s="20"/>
      <c r="C42" s="32"/>
      <c r="D42" s="32"/>
      <c r="E42" s="32"/>
      <c r="F42" s="32"/>
      <c r="G42" s="32"/>
      <c r="H42" s="32"/>
      <c r="I42" s="33"/>
      <c r="J42" s="33"/>
      <c r="K42" s="23" t="str">
        <f t="shared" ca="1" si="0"/>
        <v/>
      </c>
      <c r="L42" s="24" t="str">
        <f t="shared" ca="1" si="1"/>
        <v/>
      </c>
      <c r="N42" s="25" t="str">
        <f>IF($H42="","",$H42&amp;"#"&amp;COUNTIF($H$8:$H42,$H42))</f>
        <v/>
      </c>
    </row>
    <row r="43" spans="2:14" ht="30" customHeight="1" x14ac:dyDescent="0.25">
      <c r="B43" s="29"/>
      <c r="C43" s="34"/>
      <c r="D43" s="34"/>
      <c r="E43" s="34"/>
      <c r="F43" s="34"/>
      <c r="G43" s="34"/>
      <c r="H43" s="34"/>
      <c r="I43" s="35"/>
      <c r="J43" s="35"/>
      <c r="K43" s="23" t="str">
        <f t="shared" ca="1" si="0"/>
        <v/>
      </c>
      <c r="L43" s="24" t="str">
        <f t="shared" ca="1" si="1"/>
        <v/>
      </c>
      <c r="N43" s="25" t="str">
        <f>IF($H43="","",$H43&amp;"#"&amp;COUNTIF($H$8:$H43,$H43))</f>
        <v/>
      </c>
    </row>
    <row r="44" spans="2:14" ht="30" customHeight="1" x14ac:dyDescent="0.25">
      <c r="B44" s="20"/>
      <c r="C44" s="32"/>
      <c r="D44" s="32"/>
      <c r="E44" s="32"/>
      <c r="F44" s="32"/>
      <c r="G44" s="32"/>
      <c r="H44" s="32"/>
      <c r="I44" s="33"/>
      <c r="J44" s="33"/>
      <c r="K44" s="23" t="str">
        <f t="shared" ca="1" si="0"/>
        <v/>
      </c>
      <c r="L44" s="24" t="str">
        <f t="shared" ca="1" si="1"/>
        <v/>
      </c>
      <c r="N44" s="25" t="str">
        <f>IF($H44="","",$H44&amp;"#"&amp;COUNTIF($H$8:$H44,$H44))</f>
        <v/>
      </c>
    </row>
    <row r="45" spans="2:14" ht="30" customHeight="1" x14ac:dyDescent="0.25">
      <c r="B45" s="29"/>
      <c r="C45" s="34"/>
      <c r="D45" s="34"/>
      <c r="E45" s="34"/>
      <c r="F45" s="34"/>
      <c r="G45" s="34"/>
      <c r="H45" s="34"/>
      <c r="I45" s="35"/>
      <c r="J45" s="35"/>
      <c r="K45" s="23" t="str">
        <f t="shared" ca="1" si="0"/>
        <v/>
      </c>
      <c r="L45" s="24" t="str">
        <f t="shared" ca="1" si="1"/>
        <v/>
      </c>
      <c r="N45" s="25" t="str">
        <f>IF($H45="","",$H45&amp;"#"&amp;COUNTIF($H$8:$H45,$H45))</f>
        <v/>
      </c>
    </row>
    <row r="46" spans="2:14" ht="30" customHeight="1" x14ac:dyDescent="0.25">
      <c r="B46" s="20"/>
      <c r="C46" s="32"/>
      <c r="D46" s="32"/>
      <c r="E46" s="32"/>
      <c r="F46" s="32"/>
      <c r="G46" s="32"/>
      <c r="H46" s="32"/>
      <c r="I46" s="33"/>
      <c r="J46" s="33"/>
      <c r="K46" s="23" t="str">
        <f t="shared" ca="1" si="0"/>
        <v/>
      </c>
      <c r="L46" s="24" t="str">
        <f t="shared" ca="1" si="1"/>
        <v/>
      </c>
      <c r="N46" s="25" t="str">
        <f>IF($H46="","",$H46&amp;"#"&amp;COUNTIF($H$8:$H46,$H46))</f>
        <v/>
      </c>
    </row>
    <row r="47" spans="2:14" ht="30" customHeight="1" x14ac:dyDescent="0.25">
      <c r="B47" s="29"/>
      <c r="C47" s="34"/>
      <c r="D47" s="34"/>
      <c r="E47" s="34"/>
      <c r="F47" s="34"/>
      <c r="G47" s="34"/>
      <c r="H47" s="34"/>
      <c r="I47" s="35"/>
      <c r="J47" s="35"/>
      <c r="K47" s="23" t="str">
        <f t="shared" ca="1" si="0"/>
        <v/>
      </c>
      <c r="L47" s="24" t="str">
        <f t="shared" ca="1" si="1"/>
        <v/>
      </c>
      <c r="N47" s="25" t="str">
        <f>IF($H47="","",$H47&amp;"#"&amp;COUNTIF($H$8:$H47,$H47))</f>
        <v/>
      </c>
    </row>
  </sheetData>
  <mergeCells count="3">
    <mergeCell ref="B2:N2"/>
    <mergeCell ref="B3:N3"/>
    <mergeCell ref="B5:N5"/>
  </mergeCells>
  <conditionalFormatting sqref="G8:G47">
    <cfRule type="cellIs" dxfId="31" priority="2" operator="equal">
      <formula>"Hoch"</formula>
    </cfRule>
    <cfRule type="cellIs" dxfId="30" priority="3" operator="equal">
      <formula>"Mittel"</formula>
    </cfRule>
    <cfRule type="cellIs" dxfId="29" priority="4" operator="equal">
      <formula>"Niedrig"</formula>
    </cfRule>
  </conditionalFormatting>
  <conditionalFormatting sqref="H8:H47">
    <cfRule type="cellIs" dxfId="28" priority="5" operator="equal">
      <formula>"Backlog"</formula>
    </cfRule>
    <cfRule type="cellIs" dxfId="27" priority="6" operator="equal">
      <formula>"In Analyse"</formula>
    </cfRule>
    <cfRule type="cellIs" dxfId="26" priority="7" operator="equal">
      <formula>"In Umsetzung"</formula>
    </cfRule>
    <cfRule type="cellIs" dxfId="25" priority="8" operator="equal">
      <formula>"In Prüfung"</formula>
    </cfRule>
    <cfRule type="cellIs" dxfId="24" priority="9" operator="equal">
      <formula>"Erledigt"</formula>
    </cfRule>
  </conditionalFormatting>
  <conditionalFormatting sqref="K8:K47">
    <cfRule type="cellIs" dxfId="23" priority="14" operator="lessThan">
      <formula>0</formula>
    </cfRule>
  </conditionalFormatting>
  <conditionalFormatting sqref="L8:L47">
    <cfRule type="expression" dxfId="22" priority="10">
      <formula>$L8="Überfällig"</formula>
    </cfRule>
    <cfRule type="expression" dxfId="21" priority="11">
      <formula>$L8="Dringend"</formula>
    </cfRule>
    <cfRule type="expression" dxfId="20" priority="12">
      <formula>$L8="Im Plan"</formula>
    </cfRule>
    <cfRule type="expression" dxfId="19" priority="13">
      <formula>$L8="Erledigt"</formula>
    </cfRule>
  </conditionalFormatting>
  <dataValidations count="4">
    <dataValidation type="list" allowBlank="1" errorTitle="Ungültige Eingabe" error="Bitte einen Wert aus der Liste wählen." prompt="Aus der Liste auswählen" sqref="E8:E47" xr:uid="{00000000-0002-0000-0000-000000000000}">
      <formula1>"Projekt Alpha,Projekt Beta,Interne IT"</formula1>
      <formula2>0</formula2>
    </dataValidation>
    <dataValidation type="list" allowBlank="1" errorTitle="Ungültige Eingabe" error="Bitte einen Wert aus der Liste wählen." prompt="Aus der Liste auswählen" sqref="F8:F47" xr:uid="{00000000-0002-0000-0000-000001000000}">
      <formula1>"L. Brandt,M. Keller,S. Ahmadi,T. Novak,R. Vogel"</formula1>
      <formula2>0</formula2>
    </dataValidation>
    <dataValidation type="list" allowBlank="1" errorTitle="Ungültige Eingabe" error="Bitte einen Wert aus der Liste wählen." prompt="Aus der Liste auswählen" sqref="G8:G47" xr:uid="{00000000-0002-0000-0000-000002000000}">
      <formula1>"Hoch,Mittel,Niedrig"</formula1>
      <formula2>0</formula2>
    </dataValidation>
    <dataValidation type="list" allowBlank="1" errorTitle="Ungültige Eingabe" error="Bitte einen Wert aus der Liste wählen." prompt="Aus der Liste auswählen" sqref="H8:H47" xr:uid="{00000000-0002-0000-0000-000003000000}">
      <formula1>"Backlog,In Analyse,In Umsetzung,In Prüfung,Erledigt"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P37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16" width="13" customWidth="1"/>
  </cols>
  <sheetData>
    <row r="2" spans="2:16" ht="33.75" customHeight="1" x14ac:dyDescent="0.25">
      <c r="B2" s="14" t="s">
        <v>62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16" ht="19.5" customHeight="1" x14ac:dyDescent="0.25">
      <c r="B3" s="13" t="s">
        <v>63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spans="2:16" ht="21.75" customHeight="1" x14ac:dyDescent="0.25">
      <c r="B5" s="52">
        <f>COUNTIF(Aufgaben!$H$8:$H$47,"&lt;&gt;")</f>
        <v>12</v>
      </c>
      <c r="C5" s="52"/>
      <c r="D5" s="52"/>
      <c r="E5" s="53">
        <f>COUNTIF(Aufgaben!$H$8:$H$47,"In Analyse")+COUNTIF(Aufgaben!$H$8:$H$47,"In Umsetzung")+COUNTIF(Aufgaben!$H$8:$H$47,"In Prüfung")</f>
        <v>7</v>
      </c>
      <c r="F5" s="53"/>
      <c r="G5" s="53"/>
      <c r="H5" s="54">
        <f>COUNTIF(Aufgaben!$H$8:$H$47,"Erledigt")</f>
        <v>2</v>
      </c>
      <c r="I5" s="54"/>
      <c r="J5" s="54"/>
      <c r="K5" s="55">
        <f ca="1">SUMPRODUCT((Aufgaben!$J$8:$J$47&lt;TODAY())*(Aufgaben!$J$8:$J$47&lt;&gt;"")*(Aufgaben!$H$8:$H$47&lt;&gt;"Erledigt")*(Aufgaben!$H$8:$H$47&lt;&gt;""))</f>
        <v>4</v>
      </c>
      <c r="L5" s="55"/>
      <c r="M5" s="55"/>
    </row>
    <row r="6" spans="2:16" ht="21.75" customHeight="1" x14ac:dyDescent="0.25">
      <c r="B6" s="52"/>
      <c r="C6" s="52"/>
      <c r="D6" s="52"/>
      <c r="E6" s="53"/>
      <c r="F6" s="53"/>
      <c r="G6" s="53"/>
      <c r="H6" s="54"/>
      <c r="I6" s="54"/>
      <c r="J6" s="54"/>
      <c r="K6" s="55"/>
      <c r="L6" s="55"/>
      <c r="M6" s="55"/>
    </row>
    <row r="7" spans="2:16" ht="19.5" customHeight="1" x14ac:dyDescent="0.25">
      <c r="B7" s="56" t="s">
        <v>64</v>
      </c>
      <c r="C7" s="56"/>
      <c r="D7" s="56"/>
      <c r="E7" s="57" t="s">
        <v>65</v>
      </c>
      <c r="F7" s="57"/>
      <c r="G7" s="57"/>
      <c r="H7" s="58" t="s">
        <v>60</v>
      </c>
      <c r="I7" s="58"/>
      <c r="J7" s="58"/>
      <c r="K7" s="59" t="s">
        <v>66</v>
      </c>
      <c r="L7" s="59"/>
      <c r="M7" s="59"/>
    </row>
    <row r="9" spans="2:16" ht="24" customHeight="1" x14ac:dyDescent="0.25">
      <c r="B9" s="60" t="str">
        <f ca="1">"Fertigstellungsgrad:  "&amp;TEXT(COUNTIF(Aufgaben!$H$8:$H$47,"Erledigt")/MAX(1,COUNTIF(Aufgaben!$H$8:$H$47,"&lt;&gt;")),"0 %")&amp;"      ·      Stand: "&amp;TEXT(TODAY(),"DD.MM.YYYY")</f>
        <v>Fertigstellungsgrad:  17 %      ·      Stand: 11.10.YYYY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</row>
    <row r="12" spans="2:16" ht="15.75" x14ac:dyDescent="0.25">
      <c r="B12" s="61" t="s">
        <v>67</v>
      </c>
      <c r="C12" s="61"/>
      <c r="D12" s="61"/>
      <c r="F12" s="61" t="s">
        <v>68</v>
      </c>
      <c r="G12" s="61"/>
      <c r="H12" s="61"/>
      <c r="J12" s="61" t="s">
        <v>69</v>
      </c>
      <c r="K12" s="61"/>
      <c r="L12" s="61"/>
      <c r="M12" s="61"/>
    </row>
    <row r="13" spans="2:16" ht="15" customHeight="1" x14ac:dyDescent="0.25">
      <c r="B13" s="39" t="s">
        <v>9</v>
      </c>
      <c r="C13" s="39" t="s">
        <v>70</v>
      </c>
      <c r="F13" s="39" t="s">
        <v>8</v>
      </c>
      <c r="G13" s="39" t="s">
        <v>70</v>
      </c>
      <c r="J13" s="62" t="s">
        <v>71</v>
      </c>
      <c r="K13" s="62"/>
      <c r="L13" s="62" t="s">
        <v>72</v>
      </c>
      <c r="M13" s="62"/>
    </row>
    <row r="14" spans="2:16" ht="15" customHeight="1" x14ac:dyDescent="0.25">
      <c r="B14" s="40" t="s">
        <v>20</v>
      </c>
      <c r="C14" s="30">
        <f>COUNTIF(Aufgaben!$H$8:$H$47,"Backlog")</f>
        <v>3</v>
      </c>
      <c r="F14" s="41" t="s">
        <v>19</v>
      </c>
      <c r="G14" s="30">
        <f>COUNTIF(Aufgaben!$G$8:$G$47,"Hoch")</f>
        <v>5</v>
      </c>
      <c r="J14" s="63" t="s">
        <v>18</v>
      </c>
      <c r="K14" s="63"/>
      <c r="L14" s="64">
        <f>COUNTIFS(Aufgaben!$F$8:$F$47,"L. Brandt",Aufgaben!$H$8:$H$47,"&lt;&gt;Erledigt",Aufgaben!$H$8:$H$47,"&lt;&gt;")</f>
        <v>3</v>
      </c>
      <c r="M14" s="64"/>
    </row>
    <row r="15" spans="2:16" ht="15" customHeight="1" x14ac:dyDescent="0.25">
      <c r="B15" s="42" t="s">
        <v>25</v>
      </c>
      <c r="C15" s="30">
        <f>COUNTIF(Aufgaben!$H$8:$H$47,"In Analyse")</f>
        <v>2</v>
      </c>
      <c r="F15" s="43" t="s">
        <v>24</v>
      </c>
      <c r="G15" s="30">
        <f>COUNTIF(Aufgaben!$G$8:$G$47,"Mittel")</f>
        <v>4</v>
      </c>
      <c r="J15" s="63" t="s">
        <v>23</v>
      </c>
      <c r="K15" s="63"/>
      <c r="L15" s="64">
        <f>COUNTIFS(Aufgaben!$F$8:$F$47,"M. Keller",Aufgaben!$H$8:$H$47,"&lt;&gt;Erledigt",Aufgaben!$H$8:$H$47,"&lt;&gt;")</f>
        <v>3</v>
      </c>
      <c r="M15" s="64"/>
    </row>
    <row r="16" spans="2:16" ht="15" customHeight="1" x14ac:dyDescent="0.25">
      <c r="B16" s="44" t="s">
        <v>33</v>
      </c>
      <c r="C16" s="30">
        <f>COUNTIF(Aufgaben!$H$8:$H$47,"In Umsetzung")</f>
        <v>3</v>
      </c>
      <c r="F16" s="45" t="s">
        <v>38</v>
      </c>
      <c r="G16" s="30">
        <f>COUNTIF(Aufgaben!$G$8:$G$47,"Niedrig")</f>
        <v>3</v>
      </c>
      <c r="J16" s="63" t="s">
        <v>29</v>
      </c>
      <c r="K16" s="63"/>
      <c r="L16" s="64">
        <f>COUNTIFS(Aufgaben!$F$8:$F$47,"S. Ahmadi",Aufgaben!$H$8:$H$47,"&lt;&gt;Erledigt",Aufgaben!$H$8:$H$47,"&lt;&gt;")</f>
        <v>1</v>
      </c>
      <c r="M16" s="64"/>
    </row>
    <row r="17" spans="2:13" ht="15" customHeight="1" x14ac:dyDescent="0.25">
      <c r="B17" s="46" t="s">
        <v>43</v>
      </c>
      <c r="C17" s="30">
        <f>COUNTIF(Aufgaben!$H$8:$H$47,"In Prüfung")</f>
        <v>2</v>
      </c>
      <c r="J17" s="63" t="s">
        <v>32</v>
      </c>
      <c r="K17" s="63"/>
      <c r="L17" s="64">
        <f>COUNTIFS(Aufgaben!$F$8:$F$47,"T. Novak",Aufgaben!$H$8:$H$47,"&lt;&gt;Erledigt",Aufgaben!$H$8:$H$47,"&lt;&gt;")</f>
        <v>2</v>
      </c>
      <c r="M17" s="64"/>
    </row>
    <row r="18" spans="2:13" ht="15" customHeight="1" x14ac:dyDescent="0.25">
      <c r="B18" s="45" t="s">
        <v>48</v>
      </c>
      <c r="C18" s="30">
        <f>COUNTIF(Aufgaben!$H$8:$H$47,"Erledigt")</f>
        <v>2</v>
      </c>
      <c r="J18" s="63" t="s">
        <v>37</v>
      </c>
      <c r="K18" s="63"/>
      <c r="L18" s="64">
        <f>COUNTIFS(Aufgaben!$F$8:$F$47,"R. Vogel",Aufgaben!$H$8:$H$47,"&lt;&gt;Erledigt",Aufgaben!$H$8:$H$47,"&lt;&gt;")</f>
        <v>1</v>
      </c>
      <c r="M18" s="64"/>
    </row>
    <row r="37" spans="2:16" ht="21.75" customHeight="1" x14ac:dyDescent="0.25">
      <c r="B37" s="65" t="s">
        <v>73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</sheetData>
  <mergeCells count="27">
    <mergeCell ref="J17:K17"/>
    <mergeCell ref="L17:M17"/>
    <mergeCell ref="J18:K18"/>
    <mergeCell ref="L18:M18"/>
    <mergeCell ref="B37:P37"/>
    <mergeCell ref="J14:K14"/>
    <mergeCell ref="L14:M14"/>
    <mergeCell ref="J15:K15"/>
    <mergeCell ref="L15:M15"/>
    <mergeCell ref="J16:K16"/>
    <mergeCell ref="L16:M16"/>
    <mergeCell ref="B12:D12"/>
    <mergeCell ref="F12:H12"/>
    <mergeCell ref="J12:M12"/>
    <mergeCell ref="J13:K13"/>
    <mergeCell ref="L13:M13"/>
    <mergeCell ref="B7:D7"/>
    <mergeCell ref="E7:G7"/>
    <mergeCell ref="H7:J7"/>
    <mergeCell ref="K7:M7"/>
    <mergeCell ref="B9:P9"/>
    <mergeCell ref="B2:P2"/>
    <mergeCell ref="B3:P3"/>
    <mergeCell ref="B5:D6"/>
    <mergeCell ref="E5:G6"/>
    <mergeCell ref="H5:J6"/>
    <mergeCell ref="K5:M6"/>
  </mergeCells>
  <pageMargins left="0.3" right="0.3" top="0.4" bottom="0.4" header="0.511811023622047" footer="0.511811023622047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Kanban-Board</vt:lpstr>
      <vt:lpstr>Aufgaben</vt:lpstr>
      <vt:lpstr>Dashboard</vt:lpstr>
      <vt:lpstr>Aufgaben!Druckbereich</vt:lpstr>
      <vt:lpstr>Dashboard!Druckbereich</vt:lpstr>
      <vt:lpstr>'Kanban-Board'!Druckbereich</vt:lpstr>
      <vt:lpstr>Aufgaben!Drucktitel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Kanban-Board Vorlage 2026</dc:title>
  <dc:subject/>
  <dc:creator>Vorlage</dc:creator>
  <cp:keywords>Kanban Aufgaben Projektmanagement Vorlage 2026</cp:keywords>
  <dc:description>Funktionale Kanban-Board-Vorlage mit automatischem Board und Dashboard.</dc:description>
  <cp:lastModifiedBy>Sergio Jiménez Canales</cp:lastModifiedBy>
  <cp:revision>2</cp:revision>
  <dcterms:created xsi:type="dcterms:W3CDTF">2026-10-10T06:25:05Z</dcterms:created>
  <dcterms:modified xsi:type="dcterms:W3CDTF">2026-10-11T09:43:06Z</dcterms:modified>
  <dc:language>en-US</dc:language>
</cp:coreProperties>
</file>