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B7A77C52-89B4-4238-BCDC-6ECA7A39BB5E}" xr6:coauthVersionLast="47" xr6:coauthVersionMax="47" xr10:uidLastSave="{00000000-0000-0000-0000-000000000000}"/>
  <bookViews>
    <workbookView xWindow="690" yWindow="690" windowWidth="25500" windowHeight="13500" tabRatio="500" activeTab="1" xr2:uid="{00000000-000D-0000-FFFF-FFFF00000000}"/>
  </bookViews>
  <sheets>
    <sheet name="Deckblatt" sheetId="1" r:id="rId1"/>
    <sheet name="Kassenbuch" sheetId="2" r:id="rId2"/>
    <sheet name="Auswertung" sheetId="3" r:id="rId3"/>
    <sheet name="Kassensturz" sheetId="4" r:id="rId4"/>
    <sheet name="Stammdaten" sheetId="5" r:id="rId5"/>
    <sheet name="Anleitung" sheetId="6" r:id="rId6"/>
  </sheets>
  <definedNames>
    <definedName name="_xlnm.Print_Area" localSheetId="5">Anleitung!$A$1:$D$21</definedName>
    <definedName name="_xlnm.Print_Area" localSheetId="2">Auswertung!$A$1:$K$40</definedName>
    <definedName name="_xlnm.Print_Area" localSheetId="0">Deckblatt!$A$1:$G$29</definedName>
    <definedName name="_xlnm.Print_Area" localSheetId="1">Kassenbuch!$A$1:$K$68</definedName>
    <definedName name="_xlnm.Print_Area" localSheetId="3">Kassensturz!$A$1:$H$25</definedName>
    <definedName name="_xlnm.Print_Area" localSheetId="4">Stammdaten!$A$1:$F$25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" i="5" l="1"/>
  <c r="G13" i="4" s="1"/>
  <c r="D23" i="4"/>
  <c r="D22" i="4"/>
  <c r="D21" i="4"/>
  <c r="D20" i="4"/>
  <c r="D19" i="4"/>
  <c r="D18" i="4"/>
  <c r="D17" i="4"/>
  <c r="D16" i="4"/>
  <c r="D15" i="4"/>
  <c r="G14" i="4"/>
  <c r="D14" i="4"/>
  <c r="D13" i="4"/>
  <c r="D12" i="4"/>
  <c r="D11" i="4"/>
  <c r="D10" i="4"/>
  <c r="D9" i="4"/>
  <c r="D24" i="4" s="1"/>
  <c r="N27" i="3"/>
  <c r="N26" i="3"/>
  <c r="F21" i="3"/>
  <c r="F20" i="3"/>
  <c r="I19" i="3"/>
  <c r="F19" i="3"/>
  <c r="C19" i="3"/>
  <c r="F18" i="3"/>
  <c r="C18" i="3"/>
  <c r="F17" i="3"/>
  <c r="C17" i="3"/>
  <c r="F16" i="3"/>
  <c r="C16" i="3"/>
  <c r="F15" i="3"/>
  <c r="C15" i="3"/>
  <c r="H11" i="3"/>
  <c r="B11" i="3"/>
  <c r="H8" i="3"/>
  <c r="E8" i="3"/>
  <c r="B8" i="3"/>
  <c r="K67" i="2"/>
  <c r="G9" i="4" s="1"/>
  <c r="H67" i="2"/>
  <c r="G67" i="2"/>
  <c r="K65" i="2"/>
  <c r="J65" i="2"/>
  <c r="I65" i="2"/>
  <c r="C65" i="2"/>
  <c r="A65" i="2"/>
  <c r="K64" i="2"/>
  <c r="J64" i="2"/>
  <c r="I64" i="2"/>
  <c r="C64" i="2"/>
  <c r="A64" i="2"/>
  <c r="K63" i="2"/>
  <c r="J63" i="2"/>
  <c r="I63" i="2"/>
  <c r="C63" i="2"/>
  <c r="A63" i="2"/>
  <c r="K62" i="2"/>
  <c r="J62" i="2"/>
  <c r="I62" i="2"/>
  <c r="C62" i="2"/>
  <c r="A62" i="2"/>
  <c r="K61" i="2"/>
  <c r="J61" i="2"/>
  <c r="I61" i="2"/>
  <c r="C61" i="2"/>
  <c r="A61" i="2"/>
  <c r="K60" i="2"/>
  <c r="J60" i="2"/>
  <c r="I60" i="2"/>
  <c r="C60" i="2"/>
  <c r="A60" i="2"/>
  <c r="K59" i="2"/>
  <c r="J59" i="2"/>
  <c r="I59" i="2"/>
  <c r="C59" i="2"/>
  <c r="A59" i="2"/>
  <c r="K58" i="2"/>
  <c r="J58" i="2"/>
  <c r="I58" i="2"/>
  <c r="C58" i="2"/>
  <c r="A58" i="2"/>
  <c r="K57" i="2"/>
  <c r="J57" i="2"/>
  <c r="I57" i="2"/>
  <c r="C57" i="2"/>
  <c r="A57" i="2"/>
  <c r="K56" i="2"/>
  <c r="J56" i="2"/>
  <c r="I56" i="2"/>
  <c r="C56" i="2"/>
  <c r="A56" i="2"/>
  <c r="K55" i="2"/>
  <c r="J55" i="2"/>
  <c r="I55" i="2"/>
  <c r="A55" i="2"/>
  <c r="C55" i="2" s="1"/>
  <c r="K54" i="2"/>
  <c r="I54" i="2"/>
  <c r="J54" i="2" s="1"/>
  <c r="A54" i="2"/>
  <c r="C54" i="2" s="1"/>
  <c r="K53" i="2"/>
  <c r="J53" i="2"/>
  <c r="I53" i="2"/>
  <c r="C53" i="2"/>
  <c r="A53" i="2"/>
  <c r="K52" i="2"/>
  <c r="I52" i="2"/>
  <c r="J52" i="2" s="1"/>
  <c r="C52" i="2"/>
  <c r="A52" i="2"/>
  <c r="K51" i="2"/>
  <c r="J51" i="2"/>
  <c r="I51" i="2"/>
  <c r="A51" i="2"/>
  <c r="C51" i="2" s="1"/>
  <c r="K50" i="2"/>
  <c r="I50" i="2"/>
  <c r="J50" i="2" s="1"/>
  <c r="A50" i="2"/>
  <c r="C50" i="2" s="1"/>
  <c r="K49" i="2"/>
  <c r="J49" i="2"/>
  <c r="I49" i="2"/>
  <c r="C49" i="2"/>
  <c r="A49" i="2"/>
  <c r="K48" i="2"/>
  <c r="I48" i="2"/>
  <c r="J48" i="2" s="1"/>
  <c r="C48" i="2"/>
  <c r="A48" i="2"/>
  <c r="K47" i="2"/>
  <c r="J47" i="2"/>
  <c r="I47" i="2"/>
  <c r="A47" i="2"/>
  <c r="C47" i="2" s="1"/>
  <c r="K46" i="2"/>
  <c r="I46" i="2"/>
  <c r="J46" i="2" s="1"/>
  <c r="A46" i="2"/>
  <c r="C46" i="2" s="1"/>
  <c r="K45" i="2"/>
  <c r="J45" i="2"/>
  <c r="I45" i="2"/>
  <c r="C45" i="2"/>
  <c r="A45" i="2"/>
  <c r="K44" i="2"/>
  <c r="I44" i="2"/>
  <c r="J44" i="2" s="1"/>
  <c r="C44" i="2"/>
  <c r="A44" i="2"/>
  <c r="K43" i="2"/>
  <c r="J43" i="2"/>
  <c r="I43" i="2"/>
  <c r="A43" i="2"/>
  <c r="C43" i="2" s="1"/>
  <c r="K42" i="2"/>
  <c r="I42" i="2"/>
  <c r="J42" i="2" s="1"/>
  <c r="A42" i="2"/>
  <c r="C42" i="2" s="1"/>
  <c r="K41" i="2"/>
  <c r="J41" i="2"/>
  <c r="I41" i="2"/>
  <c r="C41" i="2"/>
  <c r="A41" i="2"/>
  <c r="K40" i="2"/>
  <c r="I40" i="2"/>
  <c r="J40" i="2" s="1"/>
  <c r="C40" i="2"/>
  <c r="A40" i="2"/>
  <c r="K39" i="2"/>
  <c r="J39" i="2"/>
  <c r="I39" i="2"/>
  <c r="C39" i="2"/>
  <c r="A39" i="2"/>
  <c r="K38" i="2"/>
  <c r="I38" i="2"/>
  <c r="J38" i="2" s="1"/>
  <c r="A38" i="2"/>
  <c r="C38" i="2" s="1"/>
  <c r="K37" i="2"/>
  <c r="J37" i="2"/>
  <c r="I37" i="2"/>
  <c r="C37" i="2"/>
  <c r="A37" i="2"/>
  <c r="K36" i="2"/>
  <c r="I36" i="2"/>
  <c r="J36" i="2" s="1"/>
  <c r="C36" i="2"/>
  <c r="A36" i="2"/>
  <c r="K35" i="2"/>
  <c r="J35" i="2"/>
  <c r="I35" i="2"/>
  <c r="A35" i="2"/>
  <c r="C35" i="2" s="1"/>
  <c r="K34" i="2"/>
  <c r="I34" i="2"/>
  <c r="J34" i="2" s="1"/>
  <c r="C34" i="2"/>
  <c r="A34" i="2"/>
  <c r="K33" i="2"/>
  <c r="J33" i="2"/>
  <c r="I33" i="2"/>
  <c r="C33" i="2"/>
  <c r="A33" i="2"/>
  <c r="K32" i="2"/>
  <c r="I32" i="2"/>
  <c r="J32" i="2" s="1"/>
  <c r="C32" i="2"/>
  <c r="A32" i="2"/>
  <c r="K31" i="2"/>
  <c r="J31" i="2"/>
  <c r="I31" i="2"/>
  <c r="C31" i="2"/>
  <c r="A31" i="2"/>
  <c r="K30" i="2"/>
  <c r="I30" i="2"/>
  <c r="J30" i="2" s="1"/>
  <c r="C30" i="2"/>
  <c r="A30" i="2"/>
  <c r="K29" i="2"/>
  <c r="J29" i="2"/>
  <c r="I29" i="2"/>
  <c r="C29" i="2"/>
  <c r="A29" i="2"/>
  <c r="K28" i="2"/>
  <c r="I28" i="2"/>
  <c r="J28" i="2" s="1"/>
  <c r="C28" i="2"/>
  <c r="A28" i="2"/>
  <c r="K27" i="2"/>
  <c r="J27" i="2"/>
  <c r="I27" i="2"/>
  <c r="A27" i="2"/>
  <c r="C27" i="2" s="1"/>
  <c r="K26" i="2"/>
  <c r="I26" i="2"/>
  <c r="J26" i="2" s="1"/>
  <c r="C26" i="2"/>
  <c r="A26" i="2"/>
  <c r="K25" i="2"/>
  <c r="J25" i="2"/>
  <c r="I25" i="2"/>
  <c r="C25" i="2"/>
  <c r="A25" i="2"/>
  <c r="K24" i="2"/>
  <c r="I24" i="2"/>
  <c r="J24" i="2" s="1"/>
  <c r="C24" i="2"/>
  <c r="A24" i="2"/>
  <c r="K23" i="2"/>
  <c r="J23" i="2"/>
  <c r="I23" i="2"/>
  <c r="C23" i="2"/>
  <c r="A23" i="2"/>
  <c r="K22" i="2"/>
  <c r="I22" i="2"/>
  <c r="J22" i="2" s="1"/>
  <c r="C22" i="2"/>
  <c r="A22" i="2"/>
  <c r="K21" i="2"/>
  <c r="J21" i="2"/>
  <c r="I21" i="2"/>
  <c r="C21" i="2"/>
  <c r="A21" i="2"/>
  <c r="K20" i="2"/>
  <c r="I20" i="2"/>
  <c r="J20" i="2" s="1"/>
  <c r="C20" i="2"/>
  <c r="A20" i="2"/>
  <c r="K19" i="2"/>
  <c r="J19" i="2"/>
  <c r="I19" i="2"/>
  <c r="C19" i="2"/>
  <c r="A19" i="2"/>
  <c r="K18" i="2"/>
  <c r="I18" i="2"/>
  <c r="J18" i="2" s="1"/>
  <c r="C18" i="2"/>
  <c r="A18" i="2"/>
  <c r="K17" i="2"/>
  <c r="J17" i="2"/>
  <c r="I17" i="2"/>
  <c r="C17" i="2"/>
  <c r="A17" i="2"/>
  <c r="K16" i="2"/>
  <c r="I16" i="2"/>
  <c r="I17" i="3" s="1"/>
  <c r="C16" i="2"/>
  <c r="A16" i="2"/>
  <c r="K15" i="2"/>
  <c r="J15" i="2"/>
  <c r="I15" i="2"/>
  <c r="C15" i="2"/>
  <c r="A15" i="2"/>
  <c r="K14" i="2"/>
  <c r="I14" i="2"/>
  <c r="E11" i="3" s="1"/>
  <c r="C14" i="2"/>
  <c r="A14" i="2"/>
  <c r="K13" i="2"/>
  <c r="J13" i="2"/>
  <c r="I13" i="2"/>
  <c r="C13" i="2"/>
  <c r="A13" i="2"/>
  <c r="K12" i="2"/>
  <c r="I12" i="2"/>
  <c r="J12" i="2" s="1"/>
  <c r="C12" i="2"/>
  <c r="A12" i="2"/>
  <c r="K11" i="2"/>
  <c r="J11" i="2"/>
  <c r="I11" i="2"/>
  <c r="C11" i="2"/>
  <c r="A11" i="2"/>
  <c r="K10" i="2"/>
  <c r="I10" i="2"/>
  <c r="J10" i="2" s="1"/>
  <c r="C10" i="2"/>
  <c r="A10" i="2"/>
  <c r="K9" i="2"/>
  <c r="J9" i="2"/>
  <c r="I9" i="2"/>
  <c r="I15" i="3" s="1"/>
  <c r="C9" i="2"/>
  <c r="A9" i="2"/>
  <c r="K8" i="2"/>
  <c r="I8" i="2"/>
  <c r="I16" i="3" s="1"/>
  <c r="C8" i="2"/>
  <c r="A8" i="2"/>
  <c r="F6" i="2"/>
  <c r="C6" i="2"/>
  <c r="A6" i="2"/>
  <c r="I2" i="2"/>
  <c r="E13" i="1"/>
  <c r="D13" i="1"/>
  <c r="C13" i="1"/>
  <c r="B13" i="1"/>
  <c r="B10" i="1"/>
  <c r="B9" i="1"/>
  <c r="F16" i="4" l="1"/>
  <c r="G11" i="4"/>
  <c r="G10" i="4"/>
  <c r="I67" i="2"/>
  <c r="J14" i="2"/>
  <c r="J8" i="2"/>
  <c r="J16" i="2"/>
  <c r="J67" i="2" l="1"/>
</calcChain>
</file>

<file path=xl/sharedStrings.xml><?xml version="1.0" encoding="utf-8"?>
<sst xmlns="http://schemas.openxmlformats.org/spreadsheetml/2006/main" count="262" uniqueCount="143">
  <si>
    <t>KASSENBUCH · BARGELDJOURNAL</t>
  </si>
  <si>
    <t>Kassenbuch Gastronomie</t>
  </si>
  <si>
    <t>ANFANGSBESTAND</t>
  </si>
  <si>
    <t>EINZAHLUNGEN</t>
  </si>
  <si>
    <t>AUSZAHLUNGEN</t>
  </si>
  <si>
    <t>ENDBESTAND</t>
  </si>
  <si>
    <t>Dieses Arbeitsblatt ist eine strukturierte Vorlage zur Vorbereitung des Kassenbuchs. Alle Bargeldbewegungen werden im Blatt »Kassenbuch« chronologisch und lückenlos erfasst; Umsatzsteuer, Netto und der laufende Kassenbestand berechnen sich automatisch. Die »Auswertung« verdichtet die Zahlen, der »Kassensturz« gleicht den gezählten mit dem rechnerischen Bestand ab.
Rechtlicher Hinweis: Eine Tabellenkalkulation dient der Vorbereitung. Ein revisionssicheres, GoBD-konformes Kassenbuch erfordert eine unveränderbare Aufzeichnung; Belege sind zehn Jahre aufzubewahren.</t>
  </si>
  <si>
    <t>INHALT</t>
  </si>
  <si>
    <t>01</t>
  </si>
  <si>
    <t>Kassenbuch</t>
  </si>
  <si>
    <t>Chronologisches Journal aller Barbewegungen</t>
  </si>
  <si>
    <t>02</t>
  </si>
  <si>
    <t>Auswertung</t>
  </si>
  <si>
    <t>Kennzahlen, Umsatz- und Kostenstruktur, Diagramme</t>
  </si>
  <si>
    <t>03</t>
  </si>
  <si>
    <t>Kassensturz</t>
  </si>
  <si>
    <t>Zählprotokoll und Soll-/Ist-Abgleich</t>
  </si>
  <si>
    <t>04</t>
  </si>
  <si>
    <t>Stammdaten</t>
  </si>
  <si>
    <t>Betrieb, Anfangsbestand, Kategorien, Steuersätze</t>
  </si>
  <si>
    <t>05</t>
  </si>
  <si>
    <t>Anleitung</t>
  </si>
  <si>
    <t>Schritt-für-Schritt-Hinweise</t>
  </si>
  <si>
    <t>01 · BARGELDJOURNAL</t>
  </si>
  <si>
    <t>Geschäftsjahr 2026</t>
  </si>
  <si>
    <t>Nr.</t>
  </si>
  <si>
    <t>Datum</t>
  </si>
  <si>
    <t>Beleg</t>
  </si>
  <si>
    <t>Beschreibung</t>
  </si>
  <si>
    <t>Kategorie</t>
  </si>
  <si>
    <t>USt</t>
  </si>
  <si>
    <t>Einzahlung</t>
  </si>
  <si>
    <t>Auszahlung</t>
  </si>
  <si>
    <t>USt-Betrag</t>
  </si>
  <si>
    <t>Netto</t>
  </si>
  <si>
    <t>Bestand</t>
  </si>
  <si>
    <t>Tagesumsatz Speisen</t>
  </si>
  <si>
    <t>Umsatz Küche</t>
  </si>
  <si>
    <t>Tagesumsatz Getränke</t>
  </si>
  <si>
    <t>Umsatz Schank</t>
  </si>
  <si>
    <t>Lebensmittel-Einkauf</t>
  </si>
  <si>
    <t>Wareneinsatz Küche</t>
  </si>
  <si>
    <t>Getränke-Einkauf</t>
  </si>
  <si>
    <t>Wareneinsatz Schank</t>
  </si>
  <si>
    <t>Trinkgeld (Kasse)</t>
  </si>
  <si>
    <t>Trinkgeld</t>
  </si>
  <si>
    <t>Einzahlung Tageslosung</t>
  </si>
  <si>
    <t>Bankeinzahlung</t>
  </si>
  <si>
    <t>Strom / Abfall</t>
  </si>
  <si>
    <t>Energie/Entsorgung</t>
  </si>
  <si>
    <t>Aushilfe (bar)</t>
  </si>
  <si>
    <t>Personal (Aushilfe)</t>
  </si>
  <si>
    <t>Lieferung / Abholung</t>
  </si>
  <si>
    <t>Umsatz Außer-Haus</t>
  </si>
  <si>
    <t>Reparatur / Wartung</t>
  </si>
  <si>
    <t>Instandhaltung</t>
  </si>
  <si>
    <t>Büromaterial</t>
  </si>
  <si>
    <t>Verwaltung/Büro</t>
  </si>
  <si>
    <t>Miete / Pacht</t>
  </si>
  <si>
    <t>Raumkosten</t>
  </si>
  <si>
    <t>Entnahme Inhaber</t>
  </si>
  <si>
    <t>Privatentnahme</t>
  </si>
  <si>
    <t>Summen · Endbestand</t>
  </si>
  <si>
    <t>Vorlage zur Vorbereitung · nicht revisionssicher i. S. d. GoBD. Weiße Felder sind Eingaben; USt-Betrag, Netto und Bestand sind Formeln.</t>
  </si>
  <si>
    <t>02 · ANALYSE</t>
  </si>
  <si>
    <t>Monatsbericht</t>
  </si>
  <si>
    <t>NETTO-UMSATZ</t>
  </si>
  <si>
    <t>VEREINNAHMTE USt</t>
  </si>
  <si>
    <t>VERÄNDERUNG KASSE</t>
  </si>
  <si>
    <t>Einnahmen nach Bereich</t>
  </si>
  <si>
    <t>Ausgaben nach Bereich</t>
  </si>
  <si>
    <t>Umsatzsteuer nach Satz</t>
  </si>
  <si>
    <t>19 %</t>
  </si>
  <si>
    <t>7 %</t>
  </si>
  <si>
    <t>0 %</t>
  </si>
  <si>
    <t>Bareinlage</t>
  </si>
  <si>
    <t>Geldtransit (Bank/Privat)</t>
  </si>
  <si>
    <t>Einzahlungen</t>
  </si>
  <si>
    <t>Auszahlungen</t>
  </si>
  <si>
    <t>03 · ABGLEICH</t>
  </si>
  <si>
    <t>Zählprotokoll</t>
  </si>
  <si>
    <t>Bargeldzählung (Ist)</t>
  </si>
  <si>
    <t>Soll-/Ist-Abgleich</t>
  </si>
  <si>
    <t>Stückelung</t>
  </si>
  <si>
    <t>Anzahl</t>
  </si>
  <si>
    <t>Betrag</t>
  </si>
  <si>
    <t>500 € Schein</t>
  </si>
  <si>
    <t>Soll-Bestand lt. Kassenbuch</t>
  </si>
  <si>
    <t>200 € Schein</t>
  </si>
  <si>
    <t>Gezählter Bestand (Ist)</t>
  </si>
  <si>
    <t>100 € Schein</t>
  </si>
  <si>
    <t>Differenz (Ist − Soll)</t>
  </si>
  <si>
    <t>50 € Schein</t>
  </si>
  <si>
    <t>20 € Schein</t>
  </si>
  <si>
    <t>Datum des Kassensturzes</t>
  </si>
  <si>
    <t>10 € Schein</t>
  </si>
  <si>
    <t>Gezählt / geprüft von</t>
  </si>
  <si>
    <t>5 € Schein</t>
  </si>
  <si>
    <t>2 € Münze</t>
  </si>
  <si>
    <t>1 € Münze</t>
  </si>
  <si>
    <t>0,50 € Münze</t>
  </si>
  <si>
    <t>Blaue Felder sind Eingaben (Anzahl je Stückelung). Differenzen sind zu dokumentieren und zu begründen.</t>
  </si>
  <si>
    <t>0,20 € Münze</t>
  </si>
  <si>
    <t>0,10 € Münze</t>
  </si>
  <si>
    <t>0,05 € Münze</t>
  </si>
  <si>
    <t>0,02 € Münze</t>
  </si>
  <si>
    <t>0,01 € Münze</t>
  </si>
  <si>
    <t>04 · STAMMDATEN</t>
  </si>
  <si>
    <t>Betrieb / Bezeichnung</t>
  </si>
  <si>
    <t>Ristorante Muster · Hauptkasse</t>
  </si>
  <si>
    <t>Stichtag (heute)</t>
  </si>
  <si>
    <t>Anfangsbestand (€)</t>
  </si>
  <si>
    <t>Kassenverantwortung</t>
  </si>
  <si>
    <t>K. Reinholt</t>
  </si>
  <si>
    <t>Kategorien</t>
  </si>
  <si>
    <t>USt-Sätze</t>
  </si>
  <si>
    <t>Einnahme</t>
  </si>
  <si>
    <t>19 % · Regelsatz</t>
  </si>
  <si>
    <t>7 % · ermäßigt (Speisen)</t>
  </si>
  <si>
    <t>0 % · steuerfrei</t>
  </si>
  <si>
    <t>Ausgabe</t>
  </si>
  <si>
    <t>Geldtransit</t>
  </si>
  <si>
    <t>05 · LEITFADEN</t>
  </si>
  <si>
    <t>Ablauf in vier Schritten</t>
  </si>
  <si>
    <t>1 · Stammdaten</t>
  </si>
  <si>
    <t>Im Blatt »Stammdaten« Betrieb, Anfangsbestand und Verantwortung eintragen; Kategorien und USt-Sätze bei Bedarf anpassen.</t>
  </si>
  <si>
    <t>2 · Buchen</t>
  </si>
  <si>
    <t>Jede Barbewegung im »Kassenbuch« chronologisch und lückenlos erfassen: Datum, Kategorie, USt-Satz sowie Betrag unter Einzahlung oder Auszahlung. Beschreibung und Belegnummer werden vorgeschlagen.</t>
  </si>
  <si>
    <t>3 · Auswerten</t>
  </si>
  <si>
    <t>USt, Netto und laufender Bestand rechnen automatisch. Die »Auswertung« zeigt Kennzahlen, Umsatz- und Kostenstruktur sowie Diagramme.</t>
  </si>
  <si>
    <t>4 · Kassensturz</t>
  </si>
  <si>
    <t>Regelmäßig Bargeld zählen und im »Kassensturz« Ist gegen Soll abgleichen; Differenzen dokumentieren.</t>
  </si>
  <si>
    <t>Legende</t>
  </si>
  <si>
    <t>Eingaben</t>
  </si>
  <si>
    <t>Blau = frei einzutragen (Stammdaten, Zählmengen) · Weiß = Eingaben im Journal · übrige Werte sind Formeln.</t>
  </si>
  <si>
    <t>Farben</t>
  </si>
  <si>
    <t>Einzahlungen grün, Auszahlungen rot. Ein negativer Bestand wird rot hinterlegt — Hinweis auf eine fehlende oder falsche Buchung.</t>
  </si>
  <si>
    <t>Aus dem Bruttobetrag herausgerechnet: Betrag × Satz ÷ (1 + Satz). Netto = Brutto − USt.</t>
  </si>
  <si>
    <t>Bankeinzahlung und Privatentnahme sind reine Geldbewegungen (kein Aufwand/Ertrag) und in der Auswertung separat ausgewiesen.</t>
  </si>
  <si>
    <t>Rechtliches</t>
  </si>
  <si>
    <t>GoBD</t>
  </si>
  <si>
    <t>Diese Vorlage dient der Vorbereitung. Ein revisionssicheres Kassenbuch muss unveränderbar sein; Belege sind 10 Jahre aufzubewahren.</t>
  </si>
  <si>
    <t>Ohne Makros · voll editierbar · Beispieldaten einfach überschreiben.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</si>
</sst>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dd\.mm\.yyyy"/>
    <numFmt numFmtId="166" formatCode="0\ %"/>
    <numFmt numFmtId="167" formatCode="#,##0.00&quot; €&quot;;[Red]\-#,##0.00&quot; €&quot;;\–"/>
  </numFmts>
  <fonts count="43" x14ac:knownFonts="1">
    <font>
      <sz val="11"/>
      <color theme="1"/>
      <name val="Calibri"/>
      <family val="2"/>
      <charset val="1"/>
    </font>
    <font>
      <b/>
      <sz val="8.5"/>
      <color rgb="FFB5652D"/>
      <name val="Calibri"/>
      <charset val="1"/>
    </font>
    <font>
      <sz val="22"/>
      <color rgb="FF223A4E"/>
      <name val="Calibri"/>
      <charset val="1"/>
    </font>
    <font>
      <sz val="16"/>
      <color rgb="FF35566B"/>
      <name val="Calibri"/>
      <charset val="1"/>
    </font>
    <font>
      <sz val="11"/>
      <color rgb="FF7C8A93"/>
      <name val="Calibri"/>
      <charset val="1"/>
    </font>
    <font>
      <b/>
      <sz val="8"/>
      <color rgb="FF7C8A93"/>
      <name val="Calibri"/>
      <charset val="1"/>
    </font>
    <font>
      <b/>
      <sz val="15"/>
      <color rgb="FF35566B"/>
      <name val="Calibri"/>
      <charset val="1"/>
    </font>
    <font>
      <b/>
      <sz val="15"/>
      <color rgb="FF2F6E55"/>
      <name val="Calibri"/>
      <charset val="1"/>
    </font>
    <font>
      <b/>
      <sz val="15"/>
      <color rgb="FFA23B2E"/>
      <name val="Calibri"/>
      <charset val="1"/>
    </font>
    <font>
      <b/>
      <sz val="15"/>
      <color rgb="FFB5652D"/>
      <name val="Calibri"/>
      <charset val="1"/>
    </font>
    <font>
      <sz val="10"/>
      <color rgb="FF1F2B33"/>
      <name val="Calibri"/>
      <charset val="1"/>
    </font>
    <font>
      <b/>
      <sz val="8"/>
      <color rgb="FFB5652D"/>
      <name val="Calibri"/>
      <charset val="1"/>
    </font>
    <font>
      <b/>
      <sz val="10"/>
      <color rgb="FFB5652D"/>
      <name val="Calibri"/>
      <charset val="1"/>
    </font>
    <font>
      <b/>
      <sz val="10.5"/>
      <color rgb="FF223A4E"/>
      <name val="Calibri"/>
      <charset val="1"/>
    </font>
    <font>
      <sz val="9.5"/>
      <color rgb="FF7C8A93"/>
      <name val="Calibri"/>
      <charset val="1"/>
    </font>
    <font>
      <sz val="8.5"/>
      <color rgb="FF7C8A93"/>
      <name val="Calibri"/>
      <charset val="1"/>
    </font>
    <font>
      <sz val="9"/>
      <color rgb="FF7C8A93"/>
      <name val="Calibri"/>
      <charset val="1"/>
    </font>
    <font>
      <b/>
      <sz val="9"/>
      <color rgb="FF7C8A93"/>
      <name val="Calibri"/>
      <charset val="1"/>
    </font>
    <font>
      <b/>
      <sz val="9"/>
      <color rgb="FF223A4E"/>
      <name val="Calibri"/>
      <charset val="1"/>
    </font>
    <font>
      <sz val="9.5"/>
      <color rgb="FF1F2B33"/>
      <name val="Calibri"/>
      <charset val="1"/>
    </font>
    <font>
      <b/>
      <sz val="10"/>
      <color rgb="FFFFFFFF"/>
      <name val="Calibri"/>
      <charset val="1"/>
    </font>
    <font>
      <i/>
      <sz val="8"/>
      <color rgb="FF7C8A93"/>
      <name val="Calibri"/>
      <charset val="1"/>
    </font>
    <font>
      <b/>
      <sz val="16"/>
      <color rgb="FF2F6E55"/>
      <name val="Calibri"/>
      <charset val="1"/>
    </font>
    <font>
      <b/>
      <sz val="16"/>
      <color rgb="FFA23B2E"/>
      <name val="Calibri"/>
      <charset val="1"/>
    </font>
    <font>
      <b/>
      <sz val="16"/>
      <color rgb="FFB5652D"/>
      <name val="Calibri"/>
      <charset val="1"/>
    </font>
    <font>
      <b/>
      <sz val="16"/>
      <color rgb="FF4E7389"/>
      <name val="Calibri"/>
      <charset val="1"/>
    </font>
    <font>
      <b/>
      <sz val="16"/>
      <color rgb="FF9A7A1F"/>
      <name val="Calibri"/>
      <charset val="1"/>
    </font>
    <font>
      <b/>
      <sz val="16"/>
      <color rgb="FF35566B"/>
      <name val="Calibri"/>
      <charset val="1"/>
    </font>
    <font>
      <b/>
      <sz val="10"/>
      <color rgb="FF223A4E"/>
      <name val="Calibri"/>
      <charset val="1"/>
    </font>
    <font>
      <i/>
      <sz val="9"/>
      <color rgb="FF7C8A93"/>
      <name val="Calibri"/>
      <charset val="1"/>
    </font>
    <font>
      <b/>
      <sz val="8.5"/>
      <color rgb="FF7C8A93"/>
      <name val="Calibri"/>
      <charset val="1"/>
    </font>
    <font>
      <b/>
      <sz val="9.5"/>
      <color rgb="FF1D4E89"/>
      <name val="Calibri"/>
      <charset val="1"/>
    </font>
    <font>
      <sz val="8"/>
      <color rgb="FFFFFFFF"/>
      <name val="Calibri"/>
      <charset val="1"/>
    </font>
    <font>
      <sz val="11"/>
      <color rgb="FF1F2B33"/>
      <name val="Calibri"/>
      <charset val="1"/>
    </font>
    <font>
      <b/>
      <sz val="14"/>
      <color rgb="FFB5652D"/>
      <name val="Calibri"/>
      <charset val="1"/>
    </font>
    <font>
      <b/>
      <sz val="11"/>
      <color rgb="FFFFFFFF"/>
      <name val="Calibri"/>
      <charset val="1"/>
    </font>
    <font>
      <b/>
      <sz val="10"/>
      <color rgb="FF1F2B33"/>
      <name val="Calibri"/>
      <charset val="1"/>
    </font>
    <font>
      <b/>
      <sz val="10"/>
      <color rgb="FF1D4E89"/>
      <name val="Calibri"/>
      <charset val="1"/>
    </font>
    <font>
      <b/>
      <sz val="9"/>
      <color rgb="FF2F6E55"/>
      <name val="Calibri"/>
      <charset val="1"/>
    </font>
    <font>
      <b/>
      <sz val="9.5"/>
      <color rgb="FF1F2B33"/>
      <name val="Calibri"/>
      <charset val="1"/>
    </font>
    <font>
      <b/>
      <sz val="9"/>
      <color rgb="FFA23B2E"/>
      <name val="Calibri"/>
      <charset val="1"/>
    </font>
    <font>
      <b/>
      <sz val="11"/>
      <color rgb="FF223A4E"/>
      <name val="Calibri"/>
      <charset val="1"/>
    </font>
    <font>
      <b/>
      <sz val="25"/>
      <color rgb="FF223A4E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BFAF7"/>
        <bgColor rgb="FFFFFFFF"/>
      </patternFill>
    </fill>
    <fill>
      <patternFill patternType="solid">
        <fgColor rgb="FFFFFFFF"/>
        <bgColor rgb="FFFBFAF7"/>
      </patternFill>
    </fill>
    <fill>
      <patternFill patternType="solid">
        <fgColor rgb="FFF4F2EE"/>
        <bgColor rgb="FFEFF4F8"/>
      </patternFill>
    </fill>
    <fill>
      <patternFill patternType="solid">
        <fgColor rgb="FF223A4E"/>
        <bgColor rgb="FF1F2B33"/>
      </patternFill>
    </fill>
    <fill>
      <patternFill patternType="solid">
        <fgColor rgb="FFEFF4F8"/>
        <bgColor rgb="FFF4F2EE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223A4E"/>
      </bottom>
      <diagonal/>
    </border>
    <border>
      <left/>
      <right/>
      <top style="thin">
        <color rgb="FFB5652D"/>
      </top>
      <bottom/>
      <diagonal/>
    </border>
    <border>
      <left/>
      <right/>
      <top style="medium">
        <color rgb="FF35566B"/>
      </top>
      <bottom/>
      <diagonal/>
    </border>
    <border>
      <left/>
      <right/>
      <top style="medium">
        <color rgb="FF2F6E55"/>
      </top>
      <bottom/>
      <diagonal/>
    </border>
    <border>
      <left/>
      <right/>
      <top style="medium">
        <color rgb="FFA23B2E"/>
      </top>
      <bottom/>
      <diagonal/>
    </border>
    <border>
      <left/>
      <right/>
      <top style="medium">
        <color rgb="FFB5652D"/>
      </top>
      <bottom/>
      <diagonal/>
    </border>
    <border>
      <left/>
      <right/>
      <top/>
      <bottom style="thin">
        <color rgb="FFE4E9EC"/>
      </bottom>
      <diagonal/>
    </border>
    <border>
      <left style="thick">
        <color rgb="FFB5652D"/>
      </left>
      <right/>
      <top/>
      <bottom/>
      <diagonal/>
    </border>
    <border>
      <left/>
      <right/>
      <top style="thin">
        <color rgb="FFC9D2D8"/>
      </top>
      <bottom style="medium">
        <color rgb="FF223A4E"/>
      </bottom>
      <diagonal/>
    </border>
    <border>
      <left/>
      <right/>
      <top style="medium">
        <color rgb="FF4E7389"/>
      </top>
      <bottom/>
      <diagonal/>
    </border>
    <border>
      <left/>
      <right/>
      <top style="medium">
        <color rgb="FF9A7A1F"/>
      </top>
      <bottom/>
      <diagonal/>
    </border>
    <border>
      <left/>
      <right/>
      <top/>
      <bottom style="medium">
        <color rgb="FF2F6E55"/>
      </bottom>
      <diagonal/>
    </border>
    <border>
      <left/>
      <right/>
      <top/>
      <bottom style="medium">
        <color rgb="FFA23B2E"/>
      </bottom>
      <diagonal/>
    </border>
    <border>
      <left/>
      <right/>
      <top/>
      <bottom style="medium">
        <color rgb="FF9A7A1F"/>
      </bottom>
      <diagonal/>
    </border>
    <border>
      <left/>
      <right/>
      <top/>
      <bottom style="medium">
        <color rgb="FFB5652D"/>
      </bottom>
      <diagonal/>
    </border>
    <border>
      <left style="thin">
        <color rgb="FFC9D2D8"/>
      </left>
      <right style="thin">
        <color rgb="FFC9D2D8"/>
      </right>
      <top/>
      <bottom style="thin">
        <color rgb="FFE4E9EC"/>
      </bottom>
      <diagonal/>
    </border>
    <border>
      <left style="thin">
        <color rgb="FFC9D2D8"/>
      </left>
      <right style="thin">
        <color rgb="FFC9D2D8"/>
      </right>
      <top style="thin">
        <color rgb="FFC9D2D8"/>
      </top>
      <bottom style="thin">
        <color rgb="FFC9D2D8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2" borderId="4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 indent="1"/>
    </xf>
    <xf numFmtId="0" fontId="20" fillId="5" borderId="6" xfId="0" applyFont="1" applyFill="1" applyBorder="1" applyAlignment="1">
      <alignment horizontal="left" vertical="center" indent="1"/>
    </xf>
    <xf numFmtId="0" fontId="16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left" vertical="center"/>
    </xf>
    <xf numFmtId="0" fontId="16" fillId="2" borderId="1" xfId="0" applyFont="1" applyFill="1" applyBorder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14" fillId="2" borderId="7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8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2" xfId="0" applyFill="1" applyBorder="1"/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4" fontId="7" fillId="2" borderId="7" xfId="0" applyNumberFormat="1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horizontal="left" vertical="center"/>
    </xf>
    <xf numFmtId="164" fontId="9" fillId="2" borderId="7" xfId="0" applyNumberFormat="1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/>
    </xf>
    <xf numFmtId="164" fontId="18" fillId="2" borderId="0" xfId="0" applyNumberFormat="1" applyFont="1" applyFill="1" applyAlignment="1">
      <alignment horizontal="left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left" vertical="center" indent="1"/>
    </xf>
    <xf numFmtId="0" fontId="17" fillId="3" borderId="7" xfId="0" applyFont="1" applyFill="1" applyBorder="1" applyAlignment="1">
      <alignment horizontal="center" vertical="center" wrapText="1"/>
    </xf>
    <xf numFmtId="165" fontId="19" fillId="3" borderId="7" xfId="0" applyNumberFormat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left" vertical="center" indent="1"/>
    </xf>
    <xf numFmtId="166" fontId="19" fillId="3" borderId="7" xfId="0" applyNumberFormat="1" applyFont="1" applyFill="1" applyBorder="1" applyAlignment="1">
      <alignment horizontal="center" vertical="center" wrapText="1"/>
    </xf>
    <xf numFmtId="167" fontId="19" fillId="3" borderId="7" xfId="0" applyNumberFormat="1" applyFont="1" applyFill="1" applyBorder="1" applyAlignment="1">
      <alignment horizontal="right" vertical="center"/>
    </xf>
    <xf numFmtId="0" fontId="17" fillId="4" borderId="7" xfId="0" applyFont="1" applyFill="1" applyBorder="1" applyAlignment="1">
      <alignment horizontal="center" vertical="center" wrapText="1"/>
    </xf>
    <xf numFmtId="165" fontId="19" fillId="4" borderId="7" xfId="0" applyNumberFormat="1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left" vertical="center" indent="1"/>
    </xf>
    <xf numFmtId="166" fontId="19" fillId="4" borderId="7" xfId="0" applyNumberFormat="1" applyFont="1" applyFill="1" applyBorder="1" applyAlignment="1">
      <alignment horizontal="center" vertical="center" wrapText="1"/>
    </xf>
    <xf numFmtId="167" fontId="19" fillId="4" borderId="7" xfId="0" applyNumberFormat="1" applyFont="1" applyFill="1" applyBorder="1" applyAlignment="1">
      <alignment horizontal="right" vertical="center"/>
    </xf>
    <xf numFmtId="164" fontId="20" fillId="5" borderId="6" xfId="0" applyNumberFormat="1" applyFont="1" applyFill="1" applyBorder="1" applyAlignment="1">
      <alignment horizontal="right" vertical="center"/>
    </xf>
    <xf numFmtId="0" fontId="19" fillId="2" borderId="7" xfId="0" applyFont="1" applyFill="1" applyBorder="1" applyAlignment="1">
      <alignment horizontal="left" vertical="center"/>
    </xf>
    <xf numFmtId="167" fontId="19" fillId="2" borderId="7" xfId="0" applyNumberFormat="1" applyFont="1" applyFill="1" applyBorder="1" applyAlignment="1">
      <alignment horizontal="right" vertical="center"/>
    </xf>
    <xf numFmtId="0" fontId="29" fillId="2" borderId="0" xfId="0" applyFont="1" applyFill="1" applyAlignment="1">
      <alignment horizontal="left" vertical="center"/>
    </xf>
    <xf numFmtId="167" fontId="29" fillId="2" borderId="0" xfId="0" applyNumberFormat="1" applyFont="1" applyFill="1" applyAlignment="1">
      <alignment horizontal="right" vertical="center"/>
    </xf>
    <xf numFmtId="164" fontId="0" fillId="0" borderId="0" xfId="0" applyNumberFormat="1"/>
    <xf numFmtId="0" fontId="30" fillId="2" borderId="0" xfId="0" applyFont="1" applyFill="1"/>
    <xf numFmtId="0" fontId="30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right" vertical="center"/>
    </xf>
    <xf numFmtId="0" fontId="31" fillId="6" borderId="16" xfId="0" applyFont="1" applyFill="1" applyBorder="1" applyAlignment="1">
      <alignment horizontal="center" vertical="center" wrapText="1"/>
    </xf>
    <xf numFmtId="164" fontId="19" fillId="2" borderId="7" xfId="0" applyNumberFormat="1" applyFont="1" applyFill="1" applyBorder="1" applyAlignment="1">
      <alignment horizontal="right" vertical="center"/>
    </xf>
    <xf numFmtId="164" fontId="32" fillId="2" borderId="0" xfId="0" applyNumberFormat="1" applyFont="1" applyFill="1"/>
    <xf numFmtId="0" fontId="10" fillId="2" borderId="7" xfId="0" applyFont="1" applyFill="1" applyBorder="1" applyAlignment="1">
      <alignment horizontal="left" vertical="center"/>
    </xf>
    <xf numFmtId="164" fontId="33" fillId="2" borderId="7" xfId="0" applyNumberFormat="1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left" vertical="center"/>
    </xf>
    <xf numFmtId="164" fontId="34" fillId="2" borderId="7" xfId="0" applyNumberFormat="1" applyFont="1" applyFill="1" applyBorder="1" applyAlignment="1">
      <alignment horizontal="right" vertical="center"/>
    </xf>
    <xf numFmtId="165" fontId="33" fillId="2" borderId="7" xfId="0" applyNumberFormat="1" applyFont="1" applyFill="1" applyBorder="1" applyAlignment="1">
      <alignment horizontal="right" vertical="center"/>
    </xf>
    <xf numFmtId="0" fontId="33" fillId="2" borderId="7" xfId="0" applyFont="1" applyFill="1" applyBorder="1" applyAlignment="1">
      <alignment horizontal="right" vertical="center"/>
    </xf>
    <xf numFmtId="164" fontId="35" fillId="5" borderId="0" xfId="0" applyNumberFormat="1" applyFont="1" applyFill="1" applyAlignment="1">
      <alignment horizontal="right" vertical="center"/>
    </xf>
    <xf numFmtId="0" fontId="36" fillId="2" borderId="2" xfId="0" applyFont="1" applyFill="1" applyBorder="1" applyAlignment="1">
      <alignment horizontal="left" vertical="center"/>
    </xf>
    <xf numFmtId="0" fontId="37" fillId="3" borderId="17" xfId="0" applyFont="1" applyFill="1" applyBorder="1" applyAlignment="1">
      <alignment horizontal="left" vertical="center" indent="1"/>
    </xf>
    <xf numFmtId="0" fontId="36" fillId="2" borderId="0" xfId="0" applyFont="1" applyFill="1" applyAlignment="1">
      <alignment horizontal="left" vertical="center"/>
    </xf>
    <xf numFmtId="165" fontId="36" fillId="3" borderId="17" xfId="0" applyNumberFormat="1" applyFont="1" applyFill="1" applyBorder="1" applyAlignment="1">
      <alignment horizontal="left" vertical="center" indent="1"/>
    </xf>
    <xf numFmtId="164" fontId="37" fillId="3" borderId="17" xfId="0" applyNumberFormat="1" applyFont="1" applyFill="1" applyBorder="1" applyAlignment="1">
      <alignment horizontal="left" vertical="center" indent="1"/>
    </xf>
    <xf numFmtId="0" fontId="38" fillId="2" borderId="7" xfId="0" applyFont="1" applyFill="1" applyBorder="1" applyAlignment="1">
      <alignment horizontal="left" vertical="center" indent="1"/>
    </xf>
    <xf numFmtId="166" fontId="39" fillId="2" borderId="7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left" vertical="center" indent="1"/>
    </xf>
    <xf numFmtId="0" fontId="40" fillId="2" borderId="7" xfId="0" applyFont="1" applyFill="1" applyBorder="1" applyAlignment="1">
      <alignment horizontal="left" vertical="center" indent="1"/>
    </xf>
    <xf numFmtId="0" fontId="17" fillId="2" borderId="7" xfId="0" applyFont="1" applyFill="1" applyBorder="1" applyAlignment="1">
      <alignment horizontal="left" vertical="center" indent="1"/>
    </xf>
    <xf numFmtId="0" fontId="12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4" fontId="22" fillId="2" borderId="7" xfId="0" applyNumberFormat="1" applyFont="1" applyFill="1" applyBorder="1" applyAlignment="1">
      <alignment horizontal="left" vertical="center"/>
    </xf>
    <xf numFmtId="164" fontId="23" fillId="2" borderId="7" xfId="0" applyNumberFormat="1" applyFont="1" applyFill="1" applyBorder="1" applyAlignment="1">
      <alignment horizontal="left" vertical="center"/>
    </xf>
    <xf numFmtId="164" fontId="24" fillId="2" borderId="7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64" fontId="25" fillId="2" borderId="7" xfId="0" applyNumberFormat="1" applyFont="1" applyFill="1" applyBorder="1" applyAlignment="1">
      <alignment horizontal="left" vertical="center"/>
    </xf>
    <xf numFmtId="164" fontId="26" fillId="2" borderId="7" xfId="0" applyNumberFormat="1" applyFont="1" applyFill="1" applyBorder="1" applyAlignment="1">
      <alignment horizontal="left" vertical="center"/>
    </xf>
    <xf numFmtId="164" fontId="27" fillId="2" borderId="7" xfId="0" applyNumberFormat="1" applyFont="1" applyFill="1" applyBorder="1" applyAlignment="1">
      <alignment horizontal="left" vertical="center"/>
    </xf>
    <xf numFmtId="0" fontId="28" fillId="2" borderId="12" xfId="0" applyFont="1" applyFill="1" applyBorder="1" applyAlignment="1">
      <alignment horizontal="left" vertical="center"/>
    </xf>
    <xf numFmtId="0" fontId="28" fillId="2" borderId="13" xfId="0" applyFont="1" applyFill="1" applyBorder="1" applyAlignment="1">
      <alignment horizontal="left" vertical="center"/>
    </xf>
    <xf numFmtId="0" fontId="28" fillId="2" borderId="14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0" fontId="28" fillId="2" borderId="15" xfId="0" applyFont="1" applyFill="1" applyBorder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left" vertical="top" wrapText="1"/>
    </xf>
    <xf numFmtId="0" fontId="20" fillId="5" borderId="0" xfId="0" applyFont="1" applyFill="1" applyAlignment="1">
      <alignment horizontal="left" vertical="center" indent="1"/>
    </xf>
    <xf numFmtId="0" fontId="41" fillId="2" borderId="15" xfId="0" applyFont="1" applyFill="1" applyBorder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42" fillId="2" borderId="1" xfId="0" applyFont="1" applyFill="1" applyBorder="1" applyAlignment="1">
      <alignment horizontal="left" vertical="center"/>
    </xf>
  </cellXfs>
  <cellStyles count="1">
    <cellStyle name="Standard" xfId="0" builtinId="0"/>
  </cellStyles>
  <dxfs count="5">
    <dxf>
      <fill>
        <patternFill>
          <bgColor rgb="FFB5652D"/>
        </patternFill>
      </fill>
    </dxf>
    <dxf>
      <fill>
        <patternFill>
          <bgColor rgb="FF2F6E55"/>
        </patternFill>
      </fill>
    </dxf>
    <dxf>
      <font>
        <b/>
        <sz val="9"/>
        <color rgb="FF8C2B20"/>
        <name val="Calibri"/>
        <charset val="1"/>
      </font>
      <fill>
        <patternFill>
          <bgColor rgb="FFF6DCD7"/>
        </patternFill>
      </fill>
    </dxf>
    <dxf>
      <font>
        <b/>
        <sz val="9"/>
        <color rgb="FFA23B2E"/>
        <name val="Calibri"/>
        <charset val="1"/>
      </font>
    </dxf>
    <dxf>
      <font>
        <b/>
        <sz val="9"/>
        <color rgb="FF2F6E55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7A1F"/>
      <rgbColor rgb="FF800080"/>
      <rgbColor rgb="FF2F6E55"/>
      <rgbColor rgb="FFD9D9D9"/>
      <rgbColor rgb="FF878787"/>
      <rgbColor rgb="FF9999FF"/>
      <rgbColor rgb="FFA23B2E"/>
      <rgbColor rgb="FFFBFAF7"/>
      <rgbColor rgb="FFEFF4F8"/>
      <rgbColor rgb="FF660066"/>
      <rgbColor rgb="FFC8803F"/>
      <rgbColor rgb="FF0066CC"/>
      <rgbColor rgb="FFC9D2D8"/>
      <rgbColor rgb="FF000080"/>
      <rgbColor rgb="FFFF00FF"/>
      <rgbColor rgb="FFFFFF00"/>
      <rgbColor rgb="FF00FFFF"/>
      <rgbColor rgb="FF800080"/>
      <rgbColor rgb="FF800000"/>
      <rgbColor rgb="FF35566B"/>
      <rgbColor rgb="FF0000FF"/>
      <rgbColor rgb="FF00CCFF"/>
      <rgbColor rgb="FFE4E9EC"/>
      <rgbColor rgb="FFF4F2EE"/>
      <rgbColor rgb="FFFFFF99"/>
      <rgbColor rgb="FF99CCFF"/>
      <rgbColor rgb="FFFF99CC"/>
      <rgbColor rgb="FFCC99FF"/>
      <rgbColor rgb="FFF6DCD7"/>
      <rgbColor rgb="FF3366FF"/>
      <rgbColor rgb="FF33CCCC"/>
      <rgbColor rgb="FF99CC00"/>
      <rgbColor rgb="FFFFCC00"/>
      <rgbColor rgb="FFFF9900"/>
      <rgbColor rgb="FFB5652D"/>
      <rgbColor rgb="FF4E7389"/>
      <rgbColor rgb="FF7C8A93"/>
      <rgbColor rgb="FF223A4E"/>
      <rgbColor rgb="FF339966"/>
      <rgbColor rgb="FF003300"/>
      <rgbColor rgb="FF333300"/>
      <rgbColor rgb="FF8C2B20"/>
      <rgbColor rgb="FF993366"/>
      <rgbColor rgb="FF1D4E89"/>
      <rgbColor rgb="FF1F2B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Ausgaben nach Bereich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A23B2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Auswertung!$E$15:$E$21</c:f>
              <c:strCache>
                <c:ptCount val="7"/>
                <c:pt idx="0">
                  <c:v>Wareneinsatz Küche</c:v>
                </c:pt>
                <c:pt idx="1">
                  <c:v>Wareneinsatz Schank</c:v>
                </c:pt>
                <c:pt idx="2">
                  <c:v>Personal (Aushilfe)</c:v>
                </c:pt>
                <c:pt idx="3">
                  <c:v>Raumkosten</c:v>
                </c:pt>
                <c:pt idx="4">
                  <c:v>Energie/Entsorgung</c:v>
                </c:pt>
                <c:pt idx="5">
                  <c:v>Instandhaltung</c:v>
                </c:pt>
                <c:pt idx="6">
                  <c:v>Verwaltung/Büro</c:v>
                </c:pt>
              </c:strCache>
            </c:strRef>
          </c:cat>
          <c:val>
            <c:numRef>
              <c:f>Auswertung!$F$15:$F$21</c:f>
              <c:numCache>
                <c:formatCode>General</c:formatCode>
                <c:ptCount val="7"/>
                <c:pt idx="0">
                  <c:v>774.2</c:v>
                </c:pt>
                <c:pt idx="1">
                  <c:v>604.4</c:v>
                </c:pt>
                <c:pt idx="2">
                  <c:v>450</c:v>
                </c:pt>
                <c:pt idx="3">
                  <c:v>1450</c:v>
                </c:pt>
                <c:pt idx="4">
                  <c:v>240.9</c:v>
                </c:pt>
                <c:pt idx="5">
                  <c:v>176.4</c:v>
                </c:pt>
                <c:pt idx="6">
                  <c:v>58.9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50-4290-A223-EAB36C62C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16216"/>
        <c:axId val="16058272"/>
      </c:barChart>
      <c:catAx>
        <c:axId val="49116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6058272"/>
        <c:crosses val="autoZero"/>
        <c:auto val="1"/>
        <c:lblAlgn val="ctr"/>
        <c:lblOffset val="100"/>
        <c:noMultiLvlLbl val="0"/>
      </c:catAx>
      <c:valAx>
        <c:axId val="1605827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911621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Einnahmen nach Bereich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F6E5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Auswertung!$B$15:$B$19</c:f>
              <c:strCache>
                <c:ptCount val="5"/>
                <c:pt idx="0">
                  <c:v>Umsatz Küche</c:v>
                </c:pt>
                <c:pt idx="1">
                  <c:v>Umsatz Schank</c:v>
                </c:pt>
                <c:pt idx="2">
                  <c:v>Umsatz Außer-Haus</c:v>
                </c:pt>
                <c:pt idx="3">
                  <c:v>Trinkgeld</c:v>
                </c:pt>
                <c:pt idx="4">
                  <c:v>Bareinlage</c:v>
                </c:pt>
              </c:strCache>
            </c:strRef>
          </c:cat>
          <c:val>
            <c:numRef>
              <c:f>Auswertung!$C$15:$C$19</c:f>
              <c:numCache>
                <c:formatCode>General</c:formatCode>
                <c:ptCount val="5"/>
                <c:pt idx="0">
                  <c:v>25831.850000000002</c:v>
                </c:pt>
                <c:pt idx="1">
                  <c:v>11647.25</c:v>
                </c:pt>
                <c:pt idx="2">
                  <c:v>721.09999999999991</c:v>
                </c:pt>
                <c:pt idx="3">
                  <c:v>170.5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0-4B3B-B26E-0F849DC12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318094"/>
        <c:axId val="1786192"/>
      </c:barChart>
      <c:catAx>
        <c:axId val="573180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786192"/>
        <c:crosses val="autoZero"/>
        <c:auto val="1"/>
        <c:lblAlgn val="ctr"/>
        <c:lblOffset val="100"/>
        <c:noMultiLvlLbl val="0"/>
      </c:catAx>
      <c:valAx>
        <c:axId val="1786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73180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5</xdr:col>
      <xdr:colOff>159480</xdr:colOff>
      <xdr:row>37</xdr:row>
      <xdr:rowOff>68400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23</xdr:row>
      <xdr:rowOff>0</xdr:rowOff>
    </xdr:from>
    <xdr:to>
      <xdr:col>13</xdr:col>
      <xdr:colOff>41400</xdr:colOff>
      <xdr:row>37</xdr:row>
      <xdr:rowOff>68400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23A4E"/>
    <pageSetUpPr fitToPage="1"/>
  </sheetPr>
  <dimension ref="A1:G40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6" width="20" customWidth="1"/>
    <col min="7" max="7" width="3" customWidth="1"/>
  </cols>
  <sheetData>
    <row r="1" spans="1:7" ht="9.75" customHeight="1" x14ac:dyDescent="0.25">
      <c r="A1" s="15"/>
      <c r="B1" s="15"/>
      <c r="C1" s="15"/>
      <c r="D1" s="15"/>
      <c r="E1" s="15"/>
      <c r="F1" s="15"/>
      <c r="G1" s="15"/>
    </row>
    <row r="2" spans="1:7" ht="15" customHeight="1" x14ac:dyDescent="0.25">
      <c r="A2" s="15"/>
      <c r="B2" s="14" t="s">
        <v>0</v>
      </c>
      <c r="C2" s="14"/>
      <c r="D2" s="14"/>
      <c r="E2" s="14"/>
      <c r="F2" s="14"/>
      <c r="G2" s="15"/>
    </row>
    <row r="3" spans="1:7" ht="30" customHeight="1" x14ac:dyDescent="0.25">
      <c r="A3" s="15"/>
      <c r="B3" s="13" t="s">
        <v>1</v>
      </c>
      <c r="C3" s="13"/>
      <c r="D3" s="13"/>
      <c r="E3" s="13"/>
      <c r="F3" s="13"/>
      <c r="G3" s="15"/>
    </row>
    <row r="4" spans="1:7" ht="7.5" customHeight="1" x14ac:dyDescent="0.25">
      <c r="A4" s="15"/>
      <c r="B4" s="15"/>
      <c r="C4" s="15"/>
      <c r="D4" s="15"/>
      <c r="E4" s="15"/>
      <c r="F4" s="15"/>
      <c r="G4" s="15"/>
    </row>
    <row r="5" spans="1:7" ht="3" customHeight="1" x14ac:dyDescent="0.25">
      <c r="A5" s="15"/>
      <c r="B5" s="16"/>
      <c r="C5" s="16"/>
      <c r="D5" s="16"/>
      <c r="E5" s="16"/>
      <c r="F5" s="16"/>
      <c r="G5" s="15"/>
    </row>
    <row r="6" spans="1:7" x14ac:dyDescent="0.25">
      <c r="A6" s="15"/>
      <c r="B6" s="15"/>
      <c r="C6" s="15"/>
      <c r="D6" s="15"/>
      <c r="E6" s="15"/>
      <c r="F6" s="15"/>
      <c r="G6" s="15"/>
    </row>
    <row r="7" spans="1:7" x14ac:dyDescent="0.25">
      <c r="A7" s="15"/>
      <c r="B7" s="15"/>
      <c r="C7" s="15"/>
      <c r="D7" s="15"/>
      <c r="E7" s="15"/>
      <c r="F7" s="15"/>
      <c r="G7" s="15"/>
    </row>
    <row r="8" spans="1:7" ht="9.75" customHeight="1" x14ac:dyDescent="0.25">
      <c r="A8" s="15"/>
      <c r="B8" s="15"/>
      <c r="C8" s="15"/>
      <c r="D8" s="15"/>
      <c r="E8" s="15"/>
      <c r="F8" s="15"/>
      <c r="G8" s="15"/>
    </row>
    <row r="9" spans="1:7" ht="21" x14ac:dyDescent="0.25">
      <c r="A9" s="15"/>
      <c r="B9" s="12" t="str">
        <f>"für  "&amp;Stammdaten!$C$5</f>
        <v>für  Ristorante Muster · Hauptkasse</v>
      </c>
      <c r="C9" s="12"/>
      <c r="D9" s="12"/>
      <c r="E9" s="12"/>
      <c r="F9" s="12"/>
      <c r="G9" s="15"/>
    </row>
    <row r="10" spans="1:7" x14ac:dyDescent="0.25">
      <c r="A10" s="15"/>
      <c r="B10" s="11" t="str">
        <f>"Berichtszeitraum  ·  "&amp;TEXT(MIN(Kassenbuch!$B$8:$B$65),"MMMM YYYY")</f>
        <v>Berichtszeitraum  ·  enero YYYY</v>
      </c>
      <c r="C10" s="11"/>
      <c r="D10" s="11"/>
      <c r="E10" s="11"/>
      <c r="F10" s="11"/>
      <c r="G10" s="15"/>
    </row>
    <row r="11" spans="1:7" ht="13.5" customHeight="1" x14ac:dyDescent="0.25">
      <c r="A11" s="15"/>
      <c r="B11" s="15"/>
      <c r="C11" s="15"/>
      <c r="D11" s="15"/>
      <c r="E11" s="15"/>
      <c r="F11" s="15"/>
      <c r="G11" s="15"/>
    </row>
    <row r="12" spans="1:7" ht="15" customHeight="1" x14ac:dyDescent="0.25">
      <c r="A12" s="15"/>
      <c r="B12" s="17" t="s">
        <v>2</v>
      </c>
      <c r="C12" s="18" t="s">
        <v>3</v>
      </c>
      <c r="D12" s="19" t="s">
        <v>4</v>
      </c>
      <c r="E12" s="20" t="s">
        <v>5</v>
      </c>
      <c r="F12" s="15"/>
      <c r="G12" s="15"/>
    </row>
    <row r="13" spans="1:7" ht="33.75" customHeight="1" x14ac:dyDescent="0.25">
      <c r="A13" s="15"/>
      <c r="B13" s="21">
        <f>Stammdaten!$C$7</f>
        <v>300</v>
      </c>
      <c r="C13" s="22">
        <f>SUM(Kassenbuch!$G$8:$G$65)</f>
        <v>38370.700000000004</v>
      </c>
      <c r="D13" s="23">
        <f>SUM(Kassenbuch!$H$8:$H$65)</f>
        <v>30324.799999999999</v>
      </c>
      <c r="E13" s="24">
        <f>Stammdaten!$C$7+SUM(Kassenbuch!$G$8:$G$65)-SUM(Kassenbuch!$H$8:$H$65)</f>
        <v>8345.9000000000051</v>
      </c>
      <c r="F13" s="15"/>
      <c r="G13" s="15"/>
    </row>
    <row r="14" spans="1:7" ht="9.75" customHeight="1" x14ac:dyDescent="0.25">
      <c r="A14" s="15"/>
      <c r="B14" s="15"/>
      <c r="C14" s="15"/>
      <c r="D14" s="15"/>
      <c r="E14" s="15"/>
      <c r="F14" s="15"/>
      <c r="G14" s="15"/>
    </row>
    <row r="15" spans="1:7" x14ac:dyDescent="0.25">
      <c r="A15" s="15"/>
      <c r="B15" s="15"/>
      <c r="C15" s="15"/>
      <c r="D15" s="15"/>
      <c r="E15" s="15"/>
      <c r="F15" s="15"/>
      <c r="G15" s="15"/>
    </row>
    <row r="16" spans="1:7" ht="15" customHeight="1" x14ac:dyDescent="0.25">
      <c r="A16" s="15"/>
      <c r="B16" s="10" t="s">
        <v>6</v>
      </c>
      <c r="C16" s="10"/>
      <c r="D16" s="10"/>
      <c r="E16" s="10"/>
      <c r="F16" s="10"/>
      <c r="G16" s="15"/>
    </row>
    <row r="17" spans="1:7" x14ac:dyDescent="0.25">
      <c r="A17" s="15"/>
      <c r="B17" s="10"/>
      <c r="C17" s="10"/>
      <c r="D17" s="10"/>
      <c r="E17" s="10"/>
      <c r="F17" s="10"/>
      <c r="G17" s="15"/>
    </row>
    <row r="18" spans="1:7" x14ac:dyDescent="0.25">
      <c r="A18" s="15"/>
      <c r="B18" s="10"/>
      <c r="C18" s="10"/>
      <c r="D18" s="10"/>
      <c r="E18" s="10"/>
      <c r="F18" s="10"/>
      <c r="G18" s="15"/>
    </row>
    <row r="19" spans="1:7" x14ac:dyDescent="0.25">
      <c r="A19" s="15"/>
      <c r="B19" s="10"/>
      <c r="C19" s="10"/>
      <c r="D19" s="10"/>
      <c r="E19" s="10"/>
      <c r="F19" s="10"/>
      <c r="G19" s="15"/>
    </row>
    <row r="20" spans="1:7" x14ac:dyDescent="0.25">
      <c r="A20" s="15"/>
      <c r="B20" s="10"/>
      <c r="C20" s="10"/>
      <c r="D20" s="10"/>
      <c r="E20" s="10"/>
      <c r="F20" s="10"/>
      <c r="G20" s="15"/>
    </row>
    <row r="21" spans="1:7" x14ac:dyDescent="0.25">
      <c r="A21" s="15"/>
      <c r="B21" s="10"/>
      <c r="C21" s="10"/>
      <c r="D21" s="10"/>
      <c r="E21" s="10"/>
      <c r="F21" s="10"/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ht="6" customHeight="1" x14ac:dyDescent="0.25">
      <c r="A23" s="15"/>
      <c r="B23" s="9" t="s">
        <v>7</v>
      </c>
      <c r="C23" s="9"/>
      <c r="D23" s="9"/>
      <c r="E23" s="9"/>
      <c r="F23" s="9"/>
      <c r="G23" s="15"/>
    </row>
    <row r="24" spans="1:7" ht="21.75" customHeight="1" x14ac:dyDescent="0.25">
      <c r="A24" s="15"/>
      <c r="B24" s="25" t="s">
        <v>8</v>
      </c>
      <c r="C24" s="26" t="s">
        <v>9</v>
      </c>
      <c r="D24" s="8" t="s">
        <v>10</v>
      </c>
      <c r="E24" s="8"/>
      <c r="F24" s="8"/>
      <c r="G24" s="15"/>
    </row>
    <row r="25" spans="1:7" ht="21.75" customHeight="1" x14ac:dyDescent="0.25">
      <c r="A25" s="15"/>
      <c r="B25" s="25" t="s">
        <v>11</v>
      </c>
      <c r="C25" s="26" t="s">
        <v>12</v>
      </c>
      <c r="D25" s="8" t="s">
        <v>13</v>
      </c>
      <c r="E25" s="8"/>
      <c r="F25" s="8"/>
      <c r="G25" s="15"/>
    </row>
    <row r="26" spans="1:7" ht="21.75" customHeight="1" x14ac:dyDescent="0.25">
      <c r="A26" s="15"/>
      <c r="B26" s="25" t="s">
        <v>14</v>
      </c>
      <c r="C26" s="26" t="s">
        <v>15</v>
      </c>
      <c r="D26" s="8" t="s">
        <v>16</v>
      </c>
      <c r="E26" s="8"/>
      <c r="F26" s="8"/>
      <c r="G26" s="15"/>
    </row>
    <row r="27" spans="1:7" ht="21.75" customHeight="1" x14ac:dyDescent="0.25">
      <c r="A27" s="15"/>
      <c r="B27" s="25" t="s">
        <v>17</v>
      </c>
      <c r="C27" s="26" t="s">
        <v>18</v>
      </c>
      <c r="D27" s="8" t="s">
        <v>19</v>
      </c>
      <c r="E27" s="8"/>
      <c r="F27" s="8"/>
      <c r="G27" s="15"/>
    </row>
    <row r="28" spans="1:7" ht="21.75" customHeight="1" x14ac:dyDescent="0.25">
      <c r="A28" s="15"/>
      <c r="B28" s="25" t="s">
        <v>20</v>
      </c>
      <c r="C28" s="26" t="s">
        <v>21</v>
      </c>
      <c r="D28" s="8" t="s">
        <v>22</v>
      </c>
      <c r="E28" s="8"/>
      <c r="F28" s="8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15"/>
      <c r="B35" s="15"/>
      <c r="C35" s="15"/>
      <c r="D35" s="15"/>
      <c r="E35" s="15"/>
      <c r="F35" s="15"/>
      <c r="G35" s="15"/>
    </row>
    <row r="36" spans="1:7" x14ac:dyDescent="0.25">
      <c r="A36" s="15"/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5"/>
      <c r="B39" s="15"/>
      <c r="C39" s="15"/>
      <c r="D39" s="15"/>
      <c r="E39" s="15"/>
      <c r="F39" s="15"/>
      <c r="G39" s="15"/>
    </row>
    <row r="40" spans="1:7" x14ac:dyDescent="0.25">
      <c r="A40" s="15"/>
      <c r="B40" s="15"/>
      <c r="C40" s="15"/>
      <c r="D40" s="15"/>
      <c r="E40" s="15"/>
      <c r="F40" s="15"/>
      <c r="G40" s="15"/>
    </row>
  </sheetData>
  <mergeCells count="11">
    <mergeCell ref="D28:F28"/>
    <mergeCell ref="B23:F23"/>
    <mergeCell ref="D24:F24"/>
    <mergeCell ref="D25:F25"/>
    <mergeCell ref="D26:F26"/>
    <mergeCell ref="D27:F27"/>
    <mergeCell ref="B2:F2"/>
    <mergeCell ref="B3:F3"/>
    <mergeCell ref="B9:F9"/>
    <mergeCell ref="B10:F10"/>
    <mergeCell ref="B16:F21"/>
  </mergeCells>
  <pageMargins left="0.35" right="0.35" top="0.45" bottom="0.4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E7389"/>
    <pageSetUpPr fitToPage="1"/>
  </sheetPr>
  <dimension ref="A1:K70"/>
  <sheetViews>
    <sheetView showGridLines="0" tabSelected="1" zoomScaleNormal="100" workbookViewId="0">
      <pane ySplit="7" topLeftCell="A8" activePane="bottomLeft" state="frozen"/>
      <selection pane="bottomLeft" activeCell="I50" sqref="I50"/>
    </sheetView>
  </sheetViews>
  <sheetFormatPr baseColWidth="10" defaultColWidth="8.7109375" defaultRowHeight="15" x14ac:dyDescent="0.25"/>
  <cols>
    <col min="1" max="1" width="6" customWidth="1"/>
    <col min="2" max="2" width="12" customWidth="1"/>
    <col min="3" max="3" width="11" customWidth="1"/>
    <col min="4" max="4" width="27" customWidth="1"/>
    <col min="5" max="5" width="20" customWidth="1"/>
    <col min="6" max="6" width="7" customWidth="1"/>
    <col min="7" max="8" width="13" customWidth="1"/>
    <col min="9" max="10" width="12" customWidth="1"/>
    <col min="11" max="11" width="14" customWidth="1"/>
  </cols>
  <sheetData>
    <row r="1" spans="1:11" ht="9.7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4" t="s">
        <v>23</v>
      </c>
      <c r="B2" s="14"/>
      <c r="C2" s="14"/>
      <c r="D2" s="14"/>
      <c r="E2" s="14"/>
      <c r="F2" s="14"/>
      <c r="G2" s="14"/>
      <c r="H2" s="14"/>
      <c r="I2" s="7" t="str">
        <f>"Kasse: "&amp;Stammdaten!$C$5</f>
        <v>Kasse: Ristorante Muster · Hauptkasse</v>
      </c>
      <c r="J2" s="7"/>
      <c r="K2" s="7"/>
    </row>
    <row r="3" spans="1:11" ht="30" customHeight="1" x14ac:dyDescent="0.25">
      <c r="A3" s="94" t="s">
        <v>9</v>
      </c>
      <c r="B3" s="94"/>
      <c r="C3" s="94"/>
      <c r="D3" s="94"/>
      <c r="E3" s="94"/>
      <c r="F3" s="94"/>
      <c r="G3" s="94"/>
      <c r="H3" s="94"/>
      <c r="I3" s="6" t="s">
        <v>24</v>
      </c>
      <c r="J3" s="6"/>
      <c r="K3" s="6"/>
    </row>
    <row r="4" spans="1:11" ht="7.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3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8" customHeight="1" x14ac:dyDescent="0.25">
      <c r="A6" s="5" t="str">
        <f>"Anfangsbestand"</f>
        <v>Anfangsbestand</v>
      </c>
      <c r="B6" s="5"/>
      <c r="C6" s="27">
        <f>Stammdaten!$C$7</f>
        <v>300</v>
      </c>
      <c r="D6" s="15"/>
      <c r="E6" s="15"/>
      <c r="F6" s="4" t="str">
        <f>"Zeitraum: "&amp;TEXT(MIN(B8:B65),"MMMM YYYY")&amp;"   ·   Währung: EUR"</f>
        <v>Zeitraum: enero YYYY   ·   Währung: EUR</v>
      </c>
      <c r="G6" s="4"/>
      <c r="H6" s="4"/>
      <c r="I6" s="4"/>
      <c r="J6" s="4"/>
      <c r="K6" s="4"/>
    </row>
    <row r="7" spans="1:11" ht="24" customHeight="1" x14ac:dyDescent="0.25">
      <c r="A7" s="28" t="s">
        <v>25</v>
      </c>
      <c r="B7" s="28" t="s">
        <v>26</v>
      </c>
      <c r="C7" s="28" t="s">
        <v>27</v>
      </c>
      <c r="D7" s="29" t="s">
        <v>28</v>
      </c>
      <c r="E7" s="29" t="s">
        <v>29</v>
      </c>
      <c r="F7" s="28" t="s">
        <v>30</v>
      </c>
      <c r="G7" s="28" t="s">
        <v>31</v>
      </c>
      <c r="H7" s="28" t="s">
        <v>32</v>
      </c>
      <c r="I7" s="28" t="s">
        <v>33</v>
      </c>
      <c r="J7" s="28" t="s">
        <v>34</v>
      </c>
      <c r="K7" s="28" t="s">
        <v>35</v>
      </c>
    </row>
    <row r="8" spans="1:11" ht="18" customHeight="1" x14ac:dyDescent="0.25">
      <c r="A8" s="30">
        <f>IF($B8="","",1)</f>
        <v>1</v>
      </c>
      <c r="B8" s="31">
        <v>46024</v>
      </c>
      <c r="C8" s="32" t="str">
        <f t="shared" ref="C8:C39" si="0">IF($B8="","","BK-"&amp;TEXT(MIN($B$8:$B$65),"YYMM")&amp;"-"&amp;TEXT($A8,"000"))</f>
        <v>BK-YY01-001</v>
      </c>
      <c r="D8" s="33" t="s">
        <v>36</v>
      </c>
      <c r="E8" s="33" t="s">
        <v>37</v>
      </c>
      <c r="F8" s="34">
        <v>7.0000000000000007E-2</v>
      </c>
      <c r="G8" s="35">
        <v>1486.3</v>
      </c>
      <c r="H8" s="35"/>
      <c r="I8" s="35">
        <f t="shared" ref="I8:I39" si="1">IF(AND($G8="",$H8=""),"",IFERROR(($G8+$H8)*$F8/(1+$F8),0))</f>
        <v>97.234579439252343</v>
      </c>
      <c r="J8" s="35">
        <f t="shared" ref="J8:J39" si="2">IF(AND($G8="",$H8=""),"",($G8+$H8)-$I8)</f>
        <v>1389.0654205607475</v>
      </c>
      <c r="K8" s="35">
        <f>IF(AND($G8="",$H8=""),"",Stammdaten!$C$7+SUM($G$8:$G8)-SUM($H$8:$H8))</f>
        <v>1786.3</v>
      </c>
    </row>
    <row r="9" spans="1:11" ht="18" customHeight="1" x14ac:dyDescent="0.25">
      <c r="A9" s="36">
        <f>IF($B9="","",2)</f>
        <v>2</v>
      </c>
      <c r="B9" s="37">
        <v>46024</v>
      </c>
      <c r="C9" s="38" t="str">
        <f t="shared" si="0"/>
        <v>BK-YY01-002</v>
      </c>
      <c r="D9" s="39" t="s">
        <v>38</v>
      </c>
      <c r="E9" s="39" t="s">
        <v>39</v>
      </c>
      <c r="F9" s="40">
        <v>0.19</v>
      </c>
      <c r="G9" s="41">
        <v>742.1</v>
      </c>
      <c r="H9" s="41"/>
      <c r="I9" s="41">
        <f t="shared" si="1"/>
        <v>118.48655462184874</v>
      </c>
      <c r="J9" s="41">
        <f t="shared" si="2"/>
        <v>623.61344537815125</v>
      </c>
      <c r="K9" s="41">
        <f>IF(AND($G9="",$H9=""),"",Stammdaten!$C$7+SUM($G$8:$G9)-SUM($H$8:$H9))</f>
        <v>2528.4</v>
      </c>
    </row>
    <row r="10" spans="1:11" ht="18" customHeight="1" x14ac:dyDescent="0.25">
      <c r="A10" s="30">
        <f>IF($B10="","",3)</f>
        <v>3</v>
      </c>
      <c r="B10" s="31">
        <v>46024</v>
      </c>
      <c r="C10" s="32" t="str">
        <f t="shared" si="0"/>
        <v>BK-YY01-003</v>
      </c>
      <c r="D10" s="33" t="s">
        <v>40</v>
      </c>
      <c r="E10" s="33" t="s">
        <v>41</v>
      </c>
      <c r="F10" s="34">
        <v>7.0000000000000007E-2</v>
      </c>
      <c r="G10" s="35"/>
      <c r="H10" s="35">
        <v>196.55</v>
      </c>
      <c r="I10" s="35">
        <f t="shared" si="1"/>
        <v>12.858411214953271</v>
      </c>
      <c r="J10" s="35">
        <f t="shared" si="2"/>
        <v>183.69158878504675</v>
      </c>
      <c r="K10" s="35">
        <f>IF(AND($G10="",$H10=""),"",Stammdaten!$C$7+SUM($G$8:$G10)-SUM($H$8:$H10))</f>
        <v>2331.85</v>
      </c>
    </row>
    <row r="11" spans="1:11" ht="18" customHeight="1" x14ac:dyDescent="0.25">
      <c r="A11" s="36">
        <f>IF($B11="","",4)</f>
        <v>4</v>
      </c>
      <c r="B11" s="37">
        <v>46025</v>
      </c>
      <c r="C11" s="38" t="str">
        <f t="shared" si="0"/>
        <v>BK-YY01-004</v>
      </c>
      <c r="D11" s="39" t="s">
        <v>36</v>
      </c>
      <c r="E11" s="39" t="s">
        <v>37</v>
      </c>
      <c r="F11" s="40">
        <v>7.0000000000000007E-2</v>
      </c>
      <c r="G11" s="41">
        <v>1620.9</v>
      </c>
      <c r="H11" s="41"/>
      <c r="I11" s="41">
        <f t="shared" si="1"/>
        <v>106.04018691588786</v>
      </c>
      <c r="J11" s="41">
        <f t="shared" si="2"/>
        <v>1514.8598130841121</v>
      </c>
      <c r="K11" s="41">
        <f>IF(AND($G11="",$H11=""),"",Stammdaten!$C$7+SUM($G$8:$G11)-SUM($H$8:$H11))</f>
        <v>3952.75</v>
      </c>
    </row>
    <row r="12" spans="1:11" ht="18" customHeight="1" x14ac:dyDescent="0.25">
      <c r="A12" s="30">
        <f>IF($B12="","",5)</f>
        <v>5</v>
      </c>
      <c r="B12" s="31">
        <v>46025</v>
      </c>
      <c r="C12" s="32" t="str">
        <f t="shared" si="0"/>
        <v>BK-YY01-005</v>
      </c>
      <c r="D12" s="33" t="s">
        <v>38</v>
      </c>
      <c r="E12" s="33" t="s">
        <v>39</v>
      </c>
      <c r="F12" s="34">
        <v>0.19</v>
      </c>
      <c r="G12" s="35">
        <v>805.4</v>
      </c>
      <c r="H12" s="35"/>
      <c r="I12" s="35">
        <f t="shared" si="1"/>
        <v>128.59327731092438</v>
      </c>
      <c r="J12" s="35">
        <f t="shared" si="2"/>
        <v>676.80672268907563</v>
      </c>
      <c r="K12" s="35">
        <f>IF(AND($G12="",$H12=""),"",Stammdaten!$C$7+SUM($G$8:$G12)-SUM($H$8:$H12))</f>
        <v>4758.1499999999996</v>
      </c>
    </row>
    <row r="13" spans="1:11" ht="18" customHeight="1" x14ac:dyDescent="0.25">
      <c r="A13" s="36">
        <f>IF($B13="","",6)</f>
        <v>6</v>
      </c>
      <c r="B13" s="37">
        <v>46025</v>
      </c>
      <c r="C13" s="38" t="str">
        <f t="shared" si="0"/>
        <v>BK-YY01-006</v>
      </c>
      <c r="D13" s="39" t="s">
        <v>42</v>
      </c>
      <c r="E13" s="39" t="s">
        <v>43</v>
      </c>
      <c r="F13" s="40">
        <v>0.19</v>
      </c>
      <c r="G13" s="41"/>
      <c r="H13" s="41">
        <v>318</v>
      </c>
      <c r="I13" s="41">
        <f t="shared" si="1"/>
        <v>50.773109243697483</v>
      </c>
      <c r="J13" s="41">
        <f t="shared" si="2"/>
        <v>267.22689075630251</v>
      </c>
      <c r="K13" s="41">
        <f>IF(AND($G13="",$H13=""),"",Stammdaten!$C$7+SUM($G$8:$G13)-SUM($H$8:$H13))</f>
        <v>4440.1499999999996</v>
      </c>
    </row>
    <row r="14" spans="1:11" ht="18" customHeight="1" x14ac:dyDescent="0.25">
      <c r="A14" s="30">
        <f>IF($B14="","",7)</f>
        <v>7</v>
      </c>
      <c r="B14" s="31">
        <v>46026</v>
      </c>
      <c r="C14" s="32" t="str">
        <f t="shared" si="0"/>
        <v>BK-YY01-007</v>
      </c>
      <c r="D14" s="33" t="s">
        <v>36</v>
      </c>
      <c r="E14" s="33" t="s">
        <v>37</v>
      </c>
      <c r="F14" s="34">
        <v>7.0000000000000007E-2</v>
      </c>
      <c r="G14" s="35">
        <v>1890.25</v>
      </c>
      <c r="H14" s="35"/>
      <c r="I14" s="35">
        <f t="shared" si="1"/>
        <v>123.66121495327104</v>
      </c>
      <c r="J14" s="35">
        <f t="shared" si="2"/>
        <v>1766.5887850467288</v>
      </c>
      <c r="K14" s="35">
        <f>IF(AND($G14="",$H14=""),"",Stammdaten!$C$7+SUM($G$8:$G14)-SUM($H$8:$H14))</f>
        <v>6330.4</v>
      </c>
    </row>
    <row r="15" spans="1:11" ht="18" customHeight="1" x14ac:dyDescent="0.25">
      <c r="A15" s="36">
        <f>IF($B15="","",8)</f>
        <v>8</v>
      </c>
      <c r="B15" s="37">
        <v>46026</v>
      </c>
      <c r="C15" s="38" t="str">
        <f t="shared" si="0"/>
        <v>BK-YY01-008</v>
      </c>
      <c r="D15" s="39" t="s">
        <v>38</v>
      </c>
      <c r="E15" s="39" t="s">
        <v>39</v>
      </c>
      <c r="F15" s="40">
        <v>0.19</v>
      </c>
      <c r="G15" s="41">
        <v>996.75</v>
      </c>
      <c r="H15" s="41"/>
      <c r="I15" s="41">
        <f t="shared" si="1"/>
        <v>159.14495798319328</v>
      </c>
      <c r="J15" s="41">
        <f t="shared" si="2"/>
        <v>837.60504201680669</v>
      </c>
      <c r="K15" s="41">
        <f>IF(AND($G15="",$H15=""),"",Stammdaten!$C$7+SUM($G$8:$G15)-SUM($H$8:$H15))</f>
        <v>7327.15</v>
      </c>
    </row>
    <row r="16" spans="1:11" ht="18" customHeight="1" x14ac:dyDescent="0.25">
      <c r="A16" s="30">
        <f>IF($B16="","",9)</f>
        <v>9</v>
      </c>
      <c r="B16" s="31">
        <v>46026</v>
      </c>
      <c r="C16" s="32" t="str">
        <f t="shared" si="0"/>
        <v>BK-YY01-009</v>
      </c>
      <c r="D16" s="33" t="s">
        <v>44</v>
      </c>
      <c r="E16" s="33" t="s">
        <v>45</v>
      </c>
      <c r="F16" s="34">
        <v>0</v>
      </c>
      <c r="G16" s="35">
        <v>78</v>
      </c>
      <c r="H16" s="35"/>
      <c r="I16" s="35">
        <f t="shared" si="1"/>
        <v>0</v>
      </c>
      <c r="J16" s="35">
        <f t="shared" si="2"/>
        <v>78</v>
      </c>
      <c r="K16" s="35">
        <f>IF(AND($G16="",$H16=""),"",Stammdaten!$C$7+SUM($G$8:$G16)-SUM($H$8:$H16))</f>
        <v>7405.15</v>
      </c>
    </row>
    <row r="17" spans="1:11" ht="18" customHeight="1" x14ac:dyDescent="0.25">
      <c r="A17" s="36">
        <f>IF($B17="","",10)</f>
        <v>10</v>
      </c>
      <c r="B17" s="37">
        <v>46028</v>
      </c>
      <c r="C17" s="38" t="str">
        <f t="shared" si="0"/>
        <v>BK-YY01-010</v>
      </c>
      <c r="D17" s="39" t="s">
        <v>46</v>
      </c>
      <c r="E17" s="39" t="s">
        <v>47</v>
      </c>
      <c r="F17" s="40">
        <v>0</v>
      </c>
      <c r="G17" s="41"/>
      <c r="H17" s="41">
        <v>5810</v>
      </c>
      <c r="I17" s="41">
        <f t="shared" si="1"/>
        <v>0</v>
      </c>
      <c r="J17" s="41">
        <f t="shared" si="2"/>
        <v>5810</v>
      </c>
      <c r="K17" s="41">
        <f>IF(AND($G17="",$H17=""),"",Stammdaten!$C$7+SUM($G$8:$G17)-SUM($H$8:$H17))</f>
        <v>1595.1499999999996</v>
      </c>
    </row>
    <row r="18" spans="1:11" ht="18" customHeight="1" x14ac:dyDescent="0.25">
      <c r="A18" s="30">
        <f>IF($B18="","",11)</f>
        <v>11</v>
      </c>
      <c r="B18" s="31">
        <v>46028</v>
      </c>
      <c r="C18" s="32" t="str">
        <f t="shared" si="0"/>
        <v>BK-YY01-011</v>
      </c>
      <c r="D18" s="33" t="s">
        <v>48</v>
      </c>
      <c r="E18" s="33" t="s">
        <v>49</v>
      </c>
      <c r="F18" s="34">
        <v>0.19</v>
      </c>
      <c r="G18" s="35"/>
      <c r="H18" s="35">
        <v>142.30000000000001</v>
      </c>
      <c r="I18" s="35">
        <f t="shared" si="1"/>
        <v>22.720168067226894</v>
      </c>
      <c r="J18" s="35">
        <f t="shared" si="2"/>
        <v>119.57983193277312</v>
      </c>
      <c r="K18" s="35">
        <f>IF(AND($G18="",$H18=""),"",Stammdaten!$C$7+SUM($G$8:$G18)-SUM($H$8:$H18))</f>
        <v>1452.8499999999995</v>
      </c>
    </row>
    <row r="19" spans="1:11" ht="18" customHeight="1" x14ac:dyDescent="0.25">
      <c r="A19" s="36">
        <f>IF($B19="","",12)</f>
        <v>12</v>
      </c>
      <c r="B19" s="37">
        <v>46029</v>
      </c>
      <c r="C19" s="38" t="str">
        <f t="shared" si="0"/>
        <v>BK-YY01-012</v>
      </c>
      <c r="D19" s="39" t="s">
        <v>36</v>
      </c>
      <c r="E19" s="39" t="s">
        <v>37</v>
      </c>
      <c r="F19" s="40">
        <v>7.0000000000000007E-2</v>
      </c>
      <c r="G19" s="41">
        <v>1245.5999999999999</v>
      </c>
      <c r="H19" s="41"/>
      <c r="I19" s="41">
        <f t="shared" si="1"/>
        <v>81.487850467289718</v>
      </c>
      <c r="J19" s="41">
        <f t="shared" si="2"/>
        <v>1164.1121495327102</v>
      </c>
      <c r="K19" s="41">
        <f>IF(AND($G19="",$H19=""),"",Stammdaten!$C$7+SUM($G$8:$G19)-SUM($H$8:$H19))</f>
        <v>2698.4499999999989</v>
      </c>
    </row>
    <row r="20" spans="1:11" ht="18" customHeight="1" x14ac:dyDescent="0.25">
      <c r="A20" s="30">
        <f>IF($B20="","",13)</f>
        <v>13</v>
      </c>
      <c r="B20" s="31">
        <v>46029</v>
      </c>
      <c r="C20" s="32" t="str">
        <f t="shared" si="0"/>
        <v>BK-YY01-013</v>
      </c>
      <c r="D20" s="33" t="s">
        <v>38</v>
      </c>
      <c r="E20" s="33" t="s">
        <v>39</v>
      </c>
      <c r="F20" s="34">
        <v>0.19</v>
      </c>
      <c r="G20" s="35">
        <v>612.20000000000005</v>
      </c>
      <c r="H20" s="35"/>
      <c r="I20" s="35">
        <f t="shared" si="1"/>
        <v>97.74621848739497</v>
      </c>
      <c r="J20" s="35">
        <f t="shared" si="2"/>
        <v>514.45378151260502</v>
      </c>
      <c r="K20" s="35">
        <f>IF(AND($G20="",$H20=""),"",Stammdaten!$C$7+SUM($G$8:$G20)-SUM($H$8:$H20))</f>
        <v>3310.6499999999996</v>
      </c>
    </row>
    <row r="21" spans="1:11" ht="18" customHeight="1" x14ac:dyDescent="0.25">
      <c r="A21" s="36">
        <f>IF($B21="","",14)</f>
        <v>14</v>
      </c>
      <c r="B21" s="37">
        <v>46030</v>
      </c>
      <c r="C21" s="38" t="str">
        <f t="shared" si="0"/>
        <v>BK-YY01-014</v>
      </c>
      <c r="D21" s="39" t="s">
        <v>50</v>
      </c>
      <c r="E21" s="39" t="s">
        <v>51</v>
      </c>
      <c r="F21" s="40">
        <v>0</v>
      </c>
      <c r="G21" s="41"/>
      <c r="H21" s="41">
        <v>240</v>
      </c>
      <c r="I21" s="41">
        <f t="shared" si="1"/>
        <v>0</v>
      </c>
      <c r="J21" s="41">
        <f t="shared" si="2"/>
        <v>240</v>
      </c>
      <c r="K21" s="41">
        <f>IF(AND($G21="",$H21=""),"",Stammdaten!$C$7+SUM($G$8:$G21)-SUM($H$8:$H21))</f>
        <v>3070.6499999999996</v>
      </c>
    </row>
    <row r="22" spans="1:11" ht="18" customHeight="1" x14ac:dyDescent="0.25">
      <c r="A22" s="30">
        <f>IF($B22="","",15)</f>
        <v>15</v>
      </c>
      <c r="B22" s="31">
        <v>46031</v>
      </c>
      <c r="C22" s="32" t="str">
        <f t="shared" si="0"/>
        <v>BK-YY01-015</v>
      </c>
      <c r="D22" s="33" t="s">
        <v>36</v>
      </c>
      <c r="E22" s="33" t="s">
        <v>37</v>
      </c>
      <c r="F22" s="34">
        <v>7.0000000000000007E-2</v>
      </c>
      <c r="G22" s="35">
        <v>1702.8</v>
      </c>
      <c r="H22" s="35"/>
      <c r="I22" s="35">
        <f t="shared" si="1"/>
        <v>111.3981308411215</v>
      </c>
      <c r="J22" s="35">
        <f t="shared" si="2"/>
        <v>1591.4018691588785</v>
      </c>
      <c r="K22" s="35">
        <f>IF(AND($G22="",$H22=""),"",Stammdaten!$C$7+SUM($G$8:$G22)-SUM($H$8:$H22))</f>
        <v>4773.4499999999989</v>
      </c>
    </row>
    <row r="23" spans="1:11" ht="18" customHeight="1" x14ac:dyDescent="0.25">
      <c r="A23" s="36">
        <f>IF($B23="","",16)</f>
        <v>16</v>
      </c>
      <c r="B23" s="37">
        <v>46031</v>
      </c>
      <c r="C23" s="38" t="str">
        <f t="shared" si="0"/>
        <v>BK-YY01-016</v>
      </c>
      <c r="D23" s="39" t="s">
        <v>52</v>
      </c>
      <c r="E23" s="39" t="s">
        <v>53</v>
      </c>
      <c r="F23" s="40">
        <v>7.0000000000000007E-2</v>
      </c>
      <c r="G23" s="41">
        <v>318.39999999999998</v>
      </c>
      <c r="H23" s="41"/>
      <c r="I23" s="41">
        <f t="shared" si="1"/>
        <v>20.829906542056072</v>
      </c>
      <c r="J23" s="41">
        <f t="shared" si="2"/>
        <v>297.57009345794393</v>
      </c>
      <c r="K23" s="41">
        <f>IF(AND($G23="",$H23=""),"",Stammdaten!$C$7+SUM($G$8:$G23)-SUM($H$8:$H23))</f>
        <v>5091.8499999999985</v>
      </c>
    </row>
    <row r="24" spans="1:11" ht="18" customHeight="1" x14ac:dyDescent="0.25">
      <c r="A24" s="30">
        <f>IF($B24="","",17)</f>
        <v>17</v>
      </c>
      <c r="B24" s="31">
        <v>46032</v>
      </c>
      <c r="C24" s="32" t="str">
        <f t="shared" si="0"/>
        <v>BK-YY01-017</v>
      </c>
      <c r="D24" s="33" t="s">
        <v>38</v>
      </c>
      <c r="E24" s="33" t="s">
        <v>39</v>
      </c>
      <c r="F24" s="34">
        <v>0.19</v>
      </c>
      <c r="G24" s="35">
        <v>1120.5</v>
      </c>
      <c r="H24" s="35"/>
      <c r="I24" s="35">
        <f t="shared" si="1"/>
        <v>178.90336134453784</v>
      </c>
      <c r="J24" s="35">
        <f t="shared" si="2"/>
        <v>941.59663865546213</v>
      </c>
      <c r="K24" s="35">
        <f>IF(AND($G24="",$H24=""),"",Stammdaten!$C$7+SUM($G$8:$G24)-SUM($H$8:$H24))</f>
        <v>6212.3499999999985</v>
      </c>
    </row>
    <row r="25" spans="1:11" ht="18" customHeight="1" x14ac:dyDescent="0.25">
      <c r="A25" s="36">
        <f>IF($B25="","",18)</f>
        <v>18</v>
      </c>
      <c r="B25" s="37">
        <v>46032</v>
      </c>
      <c r="C25" s="38" t="str">
        <f t="shared" si="0"/>
        <v>BK-YY01-018</v>
      </c>
      <c r="D25" s="39" t="s">
        <v>40</v>
      </c>
      <c r="E25" s="39" t="s">
        <v>41</v>
      </c>
      <c r="F25" s="40">
        <v>7.0000000000000007E-2</v>
      </c>
      <c r="G25" s="41"/>
      <c r="H25" s="41">
        <v>264.89999999999998</v>
      </c>
      <c r="I25" s="41">
        <f t="shared" si="1"/>
        <v>17.329906542056072</v>
      </c>
      <c r="J25" s="41">
        <f t="shared" si="2"/>
        <v>247.5700934579439</v>
      </c>
      <c r="K25" s="41">
        <f>IF(AND($G25="",$H25=""),"",Stammdaten!$C$7+SUM($G$8:$G25)-SUM($H$8:$H25))</f>
        <v>5947.4499999999989</v>
      </c>
    </row>
    <row r="26" spans="1:11" ht="18" customHeight="1" x14ac:dyDescent="0.25">
      <c r="A26" s="30">
        <f>IF($B26="","",19)</f>
        <v>19</v>
      </c>
      <c r="B26" s="31">
        <v>46033</v>
      </c>
      <c r="C26" s="32" t="str">
        <f t="shared" si="0"/>
        <v>BK-YY01-019</v>
      </c>
      <c r="D26" s="33" t="s">
        <v>36</v>
      </c>
      <c r="E26" s="33" t="s">
        <v>37</v>
      </c>
      <c r="F26" s="34">
        <v>7.0000000000000007E-2</v>
      </c>
      <c r="G26" s="35">
        <v>2015.4</v>
      </c>
      <c r="H26" s="35"/>
      <c r="I26" s="35">
        <f t="shared" si="1"/>
        <v>131.84859813084114</v>
      </c>
      <c r="J26" s="35">
        <f t="shared" si="2"/>
        <v>1883.551401869159</v>
      </c>
      <c r="K26" s="35">
        <f>IF(AND($G26="",$H26=""),"",Stammdaten!$C$7+SUM($G$8:$G26)-SUM($H$8:$H26))</f>
        <v>7962.8499999999985</v>
      </c>
    </row>
    <row r="27" spans="1:11" ht="18" customHeight="1" x14ac:dyDescent="0.25">
      <c r="A27" s="36">
        <f>IF($B27="","",20)</f>
        <v>20</v>
      </c>
      <c r="B27" s="37">
        <v>46033</v>
      </c>
      <c r="C27" s="38" t="str">
        <f t="shared" si="0"/>
        <v>BK-YY01-020</v>
      </c>
      <c r="D27" s="39" t="s">
        <v>38</v>
      </c>
      <c r="E27" s="39" t="s">
        <v>39</v>
      </c>
      <c r="F27" s="40">
        <v>0.19</v>
      </c>
      <c r="G27" s="41">
        <v>1088.3</v>
      </c>
      <c r="H27" s="41"/>
      <c r="I27" s="41">
        <f t="shared" si="1"/>
        <v>173.76218487394956</v>
      </c>
      <c r="J27" s="41">
        <f t="shared" si="2"/>
        <v>914.53781512605042</v>
      </c>
      <c r="K27" s="41">
        <f>IF(AND($G27="",$H27=""),"",Stammdaten!$C$7+SUM($G$8:$G27)-SUM($H$8:$H27))</f>
        <v>9051.1499999999978</v>
      </c>
    </row>
    <row r="28" spans="1:11" ht="18" customHeight="1" x14ac:dyDescent="0.25">
      <c r="A28" s="30">
        <f>IF($B28="","",21)</f>
        <v>21</v>
      </c>
      <c r="B28" s="31">
        <v>46034</v>
      </c>
      <c r="C28" s="32" t="str">
        <f t="shared" si="0"/>
        <v>BK-YY01-021</v>
      </c>
      <c r="D28" s="33" t="s">
        <v>54</v>
      </c>
      <c r="E28" s="33" t="s">
        <v>55</v>
      </c>
      <c r="F28" s="34">
        <v>0.19</v>
      </c>
      <c r="G28" s="35"/>
      <c r="H28" s="35">
        <v>176.4</v>
      </c>
      <c r="I28" s="35">
        <f t="shared" si="1"/>
        <v>28.164705882352941</v>
      </c>
      <c r="J28" s="35">
        <f t="shared" si="2"/>
        <v>148.23529411764707</v>
      </c>
      <c r="K28" s="35">
        <f>IF(AND($G28="",$H28=""),"",Stammdaten!$C$7+SUM($G$8:$G28)-SUM($H$8:$H28))</f>
        <v>8874.7499999999982</v>
      </c>
    </row>
    <row r="29" spans="1:11" ht="18" customHeight="1" x14ac:dyDescent="0.25">
      <c r="A29" s="36">
        <f>IF($B29="","",22)</f>
        <v>22</v>
      </c>
      <c r="B29" s="37">
        <v>46035</v>
      </c>
      <c r="C29" s="38" t="str">
        <f t="shared" si="0"/>
        <v>BK-YY01-022</v>
      </c>
      <c r="D29" s="39" t="s">
        <v>46</v>
      </c>
      <c r="E29" s="39" t="s">
        <v>47</v>
      </c>
      <c r="F29" s="40">
        <v>0</v>
      </c>
      <c r="G29" s="41"/>
      <c r="H29" s="41">
        <v>7270</v>
      </c>
      <c r="I29" s="41">
        <f t="shared" si="1"/>
        <v>0</v>
      </c>
      <c r="J29" s="41">
        <f t="shared" si="2"/>
        <v>7270</v>
      </c>
      <c r="K29" s="41">
        <f>IF(AND($G29="",$H29=""),"",Stammdaten!$C$7+SUM($G$8:$G29)-SUM($H$8:$H29))</f>
        <v>1604.7499999999982</v>
      </c>
    </row>
    <row r="30" spans="1:11" ht="18" customHeight="1" x14ac:dyDescent="0.25">
      <c r="A30" s="30">
        <f>IF($B30="","",23)</f>
        <v>23</v>
      </c>
      <c r="B30" s="31">
        <v>46036</v>
      </c>
      <c r="C30" s="32" t="str">
        <f t="shared" si="0"/>
        <v>BK-YY01-023</v>
      </c>
      <c r="D30" s="33" t="s">
        <v>36</v>
      </c>
      <c r="E30" s="33" t="s">
        <v>37</v>
      </c>
      <c r="F30" s="34">
        <v>7.0000000000000007E-2</v>
      </c>
      <c r="G30" s="35">
        <v>1366.7</v>
      </c>
      <c r="H30" s="35"/>
      <c r="I30" s="35">
        <f t="shared" si="1"/>
        <v>89.410280373831782</v>
      </c>
      <c r="J30" s="35">
        <f t="shared" si="2"/>
        <v>1277.2897196261683</v>
      </c>
      <c r="K30" s="35">
        <f>IF(AND($G30="",$H30=""),"",Stammdaten!$C$7+SUM($G$8:$G30)-SUM($H$8:$H30))</f>
        <v>2971.4499999999989</v>
      </c>
    </row>
    <row r="31" spans="1:11" ht="18" customHeight="1" x14ac:dyDescent="0.25">
      <c r="A31" s="36">
        <f>IF($B31="","",24)</f>
        <v>24</v>
      </c>
      <c r="B31" s="37">
        <v>46036</v>
      </c>
      <c r="C31" s="38" t="str">
        <f t="shared" si="0"/>
        <v>BK-YY01-024</v>
      </c>
      <c r="D31" s="39" t="s">
        <v>56</v>
      </c>
      <c r="E31" s="39" t="s">
        <v>57</v>
      </c>
      <c r="F31" s="40">
        <v>0.19</v>
      </c>
      <c r="G31" s="41"/>
      <c r="H31" s="41">
        <v>58.9</v>
      </c>
      <c r="I31" s="41">
        <f t="shared" si="1"/>
        <v>9.4042016806722692</v>
      </c>
      <c r="J31" s="41">
        <f t="shared" si="2"/>
        <v>49.495798319327733</v>
      </c>
      <c r="K31" s="41">
        <f>IF(AND($G31="",$H31=""),"",Stammdaten!$C$7+SUM($G$8:$G31)-SUM($H$8:$H31))</f>
        <v>2912.5499999999993</v>
      </c>
    </row>
    <row r="32" spans="1:11" ht="18" customHeight="1" x14ac:dyDescent="0.25">
      <c r="A32" s="30">
        <f>IF($B32="","",25)</f>
        <v>25</v>
      </c>
      <c r="B32" s="31">
        <v>46037</v>
      </c>
      <c r="C32" s="32" t="str">
        <f t="shared" si="0"/>
        <v>BK-YY01-025</v>
      </c>
      <c r="D32" s="33" t="s">
        <v>58</v>
      </c>
      <c r="E32" s="33" t="s">
        <v>59</v>
      </c>
      <c r="F32" s="34">
        <v>0</v>
      </c>
      <c r="G32" s="35"/>
      <c r="H32" s="35">
        <v>1450</v>
      </c>
      <c r="I32" s="35">
        <f t="shared" si="1"/>
        <v>0</v>
      </c>
      <c r="J32" s="35">
        <f t="shared" si="2"/>
        <v>1450</v>
      </c>
      <c r="K32" s="35">
        <f>IF(AND($G32="",$H32=""),"",Stammdaten!$C$7+SUM($G$8:$G32)-SUM($H$8:$H32))</f>
        <v>1462.5499999999993</v>
      </c>
    </row>
    <row r="33" spans="1:11" ht="18" customHeight="1" x14ac:dyDescent="0.25">
      <c r="A33" s="36">
        <f>IF($B33="","",26)</f>
        <v>26</v>
      </c>
      <c r="B33" s="37">
        <v>46038</v>
      </c>
      <c r="C33" s="38" t="str">
        <f t="shared" si="0"/>
        <v>BK-YY01-026</v>
      </c>
      <c r="D33" s="39" t="s">
        <v>36</v>
      </c>
      <c r="E33" s="39" t="s">
        <v>37</v>
      </c>
      <c r="F33" s="40">
        <v>7.0000000000000007E-2</v>
      </c>
      <c r="G33" s="41">
        <v>1744.2</v>
      </c>
      <c r="H33" s="41"/>
      <c r="I33" s="41">
        <f t="shared" si="1"/>
        <v>114.10654205607477</v>
      </c>
      <c r="J33" s="41">
        <f t="shared" si="2"/>
        <v>1630.0934579439254</v>
      </c>
      <c r="K33" s="41">
        <f>IF(AND($G33="",$H33=""),"",Stammdaten!$C$7+SUM($G$8:$G33)-SUM($H$8:$H33))</f>
        <v>3206.75</v>
      </c>
    </row>
    <row r="34" spans="1:11" ht="18" customHeight="1" x14ac:dyDescent="0.25">
      <c r="A34" s="30">
        <f>IF($B34="","",27)</f>
        <v>27</v>
      </c>
      <c r="B34" s="31">
        <v>46038</v>
      </c>
      <c r="C34" s="32" t="str">
        <f t="shared" si="0"/>
        <v>BK-YY01-027</v>
      </c>
      <c r="D34" s="33" t="s">
        <v>38</v>
      </c>
      <c r="E34" s="33" t="s">
        <v>39</v>
      </c>
      <c r="F34" s="34">
        <v>0.19</v>
      </c>
      <c r="G34" s="35">
        <v>910.6</v>
      </c>
      <c r="H34" s="35"/>
      <c r="I34" s="35">
        <f t="shared" si="1"/>
        <v>145.38991596638658</v>
      </c>
      <c r="J34" s="35">
        <f t="shared" si="2"/>
        <v>765.21008403361338</v>
      </c>
      <c r="K34" s="35">
        <f>IF(AND($G34="",$H34=""),"",Stammdaten!$C$7+SUM($G$8:$G34)-SUM($H$8:$H34))</f>
        <v>4117.3499999999985</v>
      </c>
    </row>
    <row r="35" spans="1:11" ht="18" customHeight="1" x14ac:dyDescent="0.25">
      <c r="A35" s="36">
        <f>IF($B35="","",28)</f>
        <v>28</v>
      </c>
      <c r="B35" s="37">
        <v>46039</v>
      </c>
      <c r="C35" s="38" t="str">
        <f t="shared" si="0"/>
        <v>BK-YY01-028</v>
      </c>
      <c r="D35" s="39" t="s">
        <v>36</v>
      </c>
      <c r="E35" s="39" t="s">
        <v>37</v>
      </c>
      <c r="F35" s="40">
        <v>7.0000000000000007E-2</v>
      </c>
      <c r="G35" s="41">
        <v>2160.1</v>
      </c>
      <c r="H35" s="41"/>
      <c r="I35" s="41">
        <f t="shared" si="1"/>
        <v>141.31495327102806</v>
      </c>
      <c r="J35" s="41">
        <f t="shared" si="2"/>
        <v>2018.7850467289718</v>
      </c>
      <c r="K35" s="41">
        <f>IF(AND($G35="",$H35=""),"",Stammdaten!$C$7+SUM($G$8:$G35)-SUM($H$8:$H35))</f>
        <v>6277.4499999999971</v>
      </c>
    </row>
    <row r="36" spans="1:11" ht="18" customHeight="1" x14ac:dyDescent="0.25">
      <c r="A36" s="30">
        <f>IF($B36="","",29)</f>
        <v>29</v>
      </c>
      <c r="B36" s="31">
        <v>46039</v>
      </c>
      <c r="C36" s="32" t="str">
        <f t="shared" si="0"/>
        <v>BK-YY01-029</v>
      </c>
      <c r="D36" s="33" t="s">
        <v>52</v>
      </c>
      <c r="E36" s="33" t="s">
        <v>53</v>
      </c>
      <c r="F36" s="34">
        <v>7.0000000000000007E-2</v>
      </c>
      <c r="G36" s="35">
        <v>402.7</v>
      </c>
      <c r="H36" s="35"/>
      <c r="I36" s="35">
        <f t="shared" si="1"/>
        <v>26.344859813084113</v>
      </c>
      <c r="J36" s="35">
        <f t="shared" si="2"/>
        <v>376.35514018691589</v>
      </c>
      <c r="K36" s="35">
        <f>IF(AND($G36="",$H36=""),"",Stammdaten!$C$7+SUM($G$8:$G36)-SUM($H$8:$H36))</f>
        <v>6680.1499999999978</v>
      </c>
    </row>
    <row r="37" spans="1:11" ht="18" customHeight="1" x14ac:dyDescent="0.25">
      <c r="A37" s="36">
        <f>IF($B37="","",30)</f>
        <v>30</v>
      </c>
      <c r="B37" s="37">
        <v>46040</v>
      </c>
      <c r="C37" s="38" t="str">
        <f t="shared" si="0"/>
        <v>BK-YY01-030</v>
      </c>
      <c r="D37" s="39" t="s">
        <v>38</v>
      </c>
      <c r="E37" s="39" t="s">
        <v>39</v>
      </c>
      <c r="F37" s="40">
        <v>0.19</v>
      </c>
      <c r="G37" s="41">
        <v>1255.8</v>
      </c>
      <c r="H37" s="41"/>
      <c r="I37" s="41">
        <f t="shared" si="1"/>
        <v>200.5058823529412</v>
      </c>
      <c r="J37" s="41">
        <f t="shared" si="2"/>
        <v>1055.2941176470588</v>
      </c>
      <c r="K37" s="41">
        <f>IF(AND($G37="",$H37=""),"",Stammdaten!$C$7+SUM($G$8:$G37)-SUM($H$8:$H37))</f>
        <v>7935.9499999999971</v>
      </c>
    </row>
    <row r="38" spans="1:11" ht="18" customHeight="1" x14ac:dyDescent="0.25">
      <c r="A38" s="30">
        <f>IF($B38="","",31)</f>
        <v>31</v>
      </c>
      <c r="B38" s="31">
        <v>46040</v>
      </c>
      <c r="C38" s="32" t="str">
        <f t="shared" si="0"/>
        <v>BK-YY01-031</v>
      </c>
      <c r="D38" s="33" t="s">
        <v>44</v>
      </c>
      <c r="E38" s="33" t="s">
        <v>45</v>
      </c>
      <c r="F38" s="34">
        <v>0</v>
      </c>
      <c r="G38" s="35">
        <v>92.5</v>
      </c>
      <c r="H38" s="35"/>
      <c r="I38" s="35">
        <f t="shared" si="1"/>
        <v>0</v>
      </c>
      <c r="J38" s="35">
        <f t="shared" si="2"/>
        <v>92.5</v>
      </c>
      <c r="K38" s="35">
        <f>IF(AND($G38="",$H38=""),"",Stammdaten!$C$7+SUM($G$8:$G38)-SUM($H$8:$H38))</f>
        <v>8028.4499999999971</v>
      </c>
    </row>
    <row r="39" spans="1:11" ht="18" customHeight="1" x14ac:dyDescent="0.25">
      <c r="A39" s="36">
        <f>IF($B39="","",32)</f>
        <v>32</v>
      </c>
      <c r="B39" s="37">
        <v>46042</v>
      </c>
      <c r="C39" s="38" t="str">
        <f t="shared" si="0"/>
        <v>BK-YY01-032</v>
      </c>
      <c r="D39" s="39" t="s">
        <v>46</v>
      </c>
      <c r="E39" s="39" t="s">
        <v>47</v>
      </c>
      <c r="F39" s="40">
        <v>0</v>
      </c>
      <c r="G39" s="41"/>
      <c r="H39" s="41">
        <v>6430</v>
      </c>
      <c r="I39" s="41">
        <f t="shared" si="1"/>
        <v>0</v>
      </c>
      <c r="J39" s="41">
        <f t="shared" si="2"/>
        <v>6430</v>
      </c>
      <c r="K39" s="41">
        <f>IF(AND($G39="",$H39=""),"",Stammdaten!$C$7+SUM($G$8:$G39)-SUM($H$8:$H39))</f>
        <v>1598.4499999999971</v>
      </c>
    </row>
    <row r="40" spans="1:11" ht="18" customHeight="1" x14ac:dyDescent="0.25">
      <c r="A40" s="30">
        <f>IF($B40="","",33)</f>
        <v>33</v>
      </c>
      <c r="B40" s="31">
        <v>46042</v>
      </c>
      <c r="C40" s="32" t="str">
        <f t="shared" ref="C40:C65" si="3">IF($B40="","","BK-"&amp;TEXT(MIN($B$8:$B$65),"YYMM")&amp;"-"&amp;TEXT($A40,"000"))</f>
        <v>BK-YY01-033</v>
      </c>
      <c r="D40" s="33" t="s">
        <v>42</v>
      </c>
      <c r="E40" s="33" t="s">
        <v>43</v>
      </c>
      <c r="F40" s="34">
        <v>0.19</v>
      </c>
      <c r="G40" s="35"/>
      <c r="H40" s="35">
        <v>286.39999999999998</v>
      </c>
      <c r="I40" s="35">
        <f t="shared" ref="I40:I65" si="4">IF(AND($G40="",$H40=""),"",IFERROR(($G40+$H40)*$F40/(1+$F40),0))</f>
        <v>45.727731092436976</v>
      </c>
      <c r="J40" s="35">
        <f t="shared" ref="J40:J65" si="5">IF(AND($G40="",$H40=""),"",($G40+$H40)-$I40)</f>
        <v>240.67226890756299</v>
      </c>
      <c r="K40" s="35">
        <f>IF(AND($G40="",$H40=""),"",Stammdaten!$C$7+SUM($G$8:$G40)-SUM($H$8:$H40))</f>
        <v>1312.0499999999956</v>
      </c>
    </row>
    <row r="41" spans="1:11" ht="18" customHeight="1" x14ac:dyDescent="0.25">
      <c r="A41" s="36">
        <f>IF($B41="","",34)</f>
        <v>34</v>
      </c>
      <c r="B41" s="37">
        <v>46043</v>
      </c>
      <c r="C41" s="38" t="str">
        <f t="shared" si="3"/>
        <v>BK-YY01-034</v>
      </c>
      <c r="D41" s="39" t="s">
        <v>36</v>
      </c>
      <c r="E41" s="39" t="s">
        <v>37</v>
      </c>
      <c r="F41" s="40">
        <v>7.0000000000000007E-2</v>
      </c>
      <c r="G41" s="41">
        <v>1398.4</v>
      </c>
      <c r="H41" s="41"/>
      <c r="I41" s="41">
        <f t="shared" si="4"/>
        <v>91.48411214953272</v>
      </c>
      <c r="J41" s="41">
        <f t="shared" si="5"/>
        <v>1306.9158878504675</v>
      </c>
      <c r="K41" s="41">
        <f>IF(AND($G41="",$H41=""),"",Stammdaten!$C$7+SUM($G$8:$G41)-SUM($H$8:$H41))</f>
        <v>2710.4499999999971</v>
      </c>
    </row>
    <row r="42" spans="1:11" ht="18" customHeight="1" x14ac:dyDescent="0.25">
      <c r="A42" s="30">
        <f>IF($B42="","",35)</f>
        <v>35</v>
      </c>
      <c r="B42" s="31">
        <v>46044</v>
      </c>
      <c r="C42" s="32" t="str">
        <f t="shared" si="3"/>
        <v>BK-YY01-035</v>
      </c>
      <c r="D42" s="33" t="s">
        <v>36</v>
      </c>
      <c r="E42" s="33" t="s">
        <v>37</v>
      </c>
      <c r="F42" s="34">
        <v>7.0000000000000007E-2</v>
      </c>
      <c r="G42" s="35">
        <v>1587.9</v>
      </c>
      <c r="H42" s="35"/>
      <c r="I42" s="35">
        <f t="shared" si="4"/>
        <v>103.88130841121496</v>
      </c>
      <c r="J42" s="35">
        <f t="shared" si="5"/>
        <v>1484.018691588785</v>
      </c>
      <c r="K42" s="35">
        <f>IF(AND($G42="",$H42=""),"",Stammdaten!$C$7+SUM($G$8:$G42)-SUM($H$8:$H42))</f>
        <v>4298.3499999999985</v>
      </c>
    </row>
    <row r="43" spans="1:11" ht="18" customHeight="1" x14ac:dyDescent="0.25">
      <c r="A43" s="36">
        <f>IF($B43="","",36)</f>
        <v>36</v>
      </c>
      <c r="B43" s="37">
        <v>46044</v>
      </c>
      <c r="C43" s="38" t="str">
        <f t="shared" si="3"/>
        <v>BK-YY01-036</v>
      </c>
      <c r="D43" s="39" t="s">
        <v>38</v>
      </c>
      <c r="E43" s="39" t="s">
        <v>39</v>
      </c>
      <c r="F43" s="40">
        <v>0.19</v>
      </c>
      <c r="G43" s="41">
        <v>864.2</v>
      </c>
      <c r="H43" s="41"/>
      <c r="I43" s="41">
        <f t="shared" si="4"/>
        <v>137.98151260504204</v>
      </c>
      <c r="J43" s="41">
        <f t="shared" si="5"/>
        <v>726.21848739495795</v>
      </c>
      <c r="K43" s="41">
        <f>IF(AND($G43="",$H43=""),"",Stammdaten!$C$7+SUM($G$8:$G43)-SUM($H$8:$H43))</f>
        <v>5162.5499999999993</v>
      </c>
    </row>
    <row r="44" spans="1:11" ht="18" customHeight="1" x14ac:dyDescent="0.25">
      <c r="A44" s="30">
        <f>IF($B44="","",37)</f>
        <v>37</v>
      </c>
      <c r="B44" s="31">
        <v>46045</v>
      </c>
      <c r="C44" s="32" t="str">
        <f t="shared" si="3"/>
        <v>BK-YY01-037</v>
      </c>
      <c r="D44" s="33" t="s">
        <v>50</v>
      </c>
      <c r="E44" s="33" t="s">
        <v>51</v>
      </c>
      <c r="F44" s="34">
        <v>0</v>
      </c>
      <c r="G44" s="35"/>
      <c r="H44" s="35">
        <v>210</v>
      </c>
      <c r="I44" s="35">
        <f t="shared" si="4"/>
        <v>0</v>
      </c>
      <c r="J44" s="35">
        <f t="shared" si="5"/>
        <v>210</v>
      </c>
      <c r="K44" s="35">
        <f>IF(AND($G44="",$H44=""),"",Stammdaten!$C$7+SUM($G$8:$G44)-SUM($H$8:$H44))</f>
        <v>4952.5499999999993</v>
      </c>
    </row>
    <row r="45" spans="1:11" ht="18" customHeight="1" x14ac:dyDescent="0.25">
      <c r="A45" s="36">
        <f>IF($B45="","",38)</f>
        <v>38</v>
      </c>
      <c r="B45" s="37">
        <v>46046</v>
      </c>
      <c r="C45" s="38" t="str">
        <f t="shared" si="3"/>
        <v>BK-YY01-038</v>
      </c>
      <c r="D45" s="39" t="s">
        <v>36</v>
      </c>
      <c r="E45" s="39" t="s">
        <v>37</v>
      </c>
      <c r="F45" s="40">
        <v>7.0000000000000007E-2</v>
      </c>
      <c r="G45" s="41">
        <v>2240.6</v>
      </c>
      <c r="H45" s="41"/>
      <c r="I45" s="41">
        <f t="shared" si="4"/>
        <v>146.58130841121496</v>
      </c>
      <c r="J45" s="41">
        <f t="shared" si="5"/>
        <v>2094.0186915887848</v>
      </c>
      <c r="K45" s="41">
        <f>IF(AND($G45="",$H45=""),"",Stammdaten!$C$7+SUM($G$8:$G45)-SUM($H$8:$H45))</f>
        <v>7193.1499999999978</v>
      </c>
    </row>
    <row r="46" spans="1:11" ht="18" customHeight="1" x14ac:dyDescent="0.25">
      <c r="A46" s="30">
        <f>IF($B46="","",39)</f>
        <v>39</v>
      </c>
      <c r="B46" s="31">
        <v>46046</v>
      </c>
      <c r="C46" s="32" t="str">
        <f t="shared" si="3"/>
        <v>BK-YY01-039</v>
      </c>
      <c r="D46" s="33" t="s">
        <v>38</v>
      </c>
      <c r="E46" s="33" t="s">
        <v>39</v>
      </c>
      <c r="F46" s="34">
        <v>0.19</v>
      </c>
      <c r="G46" s="35">
        <v>1176.4000000000001</v>
      </c>
      <c r="H46" s="35"/>
      <c r="I46" s="35">
        <f t="shared" si="4"/>
        <v>187.82857142857145</v>
      </c>
      <c r="J46" s="35">
        <f t="shared" si="5"/>
        <v>988.57142857142867</v>
      </c>
      <c r="K46" s="35">
        <f>IF(AND($G46="",$H46=""),"",Stammdaten!$C$7+SUM($G$8:$G46)-SUM($H$8:$H46))</f>
        <v>8369.5499999999993</v>
      </c>
    </row>
    <row r="47" spans="1:11" ht="18" customHeight="1" x14ac:dyDescent="0.25">
      <c r="A47" s="36">
        <f>IF($B47="","",40)</f>
        <v>40</v>
      </c>
      <c r="B47" s="37">
        <v>46047</v>
      </c>
      <c r="C47" s="38" t="str">
        <f t="shared" si="3"/>
        <v>BK-YY01-040</v>
      </c>
      <c r="D47" s="39" t="s">
        <v>40</v>
      </c>
      <c r="E47" s="39" t="s">
        <v>41</v>
      </c>
      <c r="F47" s="40">
        <v>7.0000000000000007E-2</v>
      </c>
      <c r="G47" s="41"/>
      <c r="H47" s="41">
        <v>312.75</v>
      </c>
      <c r="I47" s="41">
        <f t="shared" si="4"/>
        <v>20.460280373831775</v>
      </c>
      <c r="J47" s="41">
        <f t="shared" si="5"/>
        <v>292.28971962616822</v>
      </c>
      <c r="K47" s="41">
        <f>IF(AND($G47="",$H47=""),"",Stammdaten!$C$7+SUM($G$8:$G47)-SUM($H$8:$H47))</f>
        <v>8056.7999999999993</v>
      </c>
    </row>
    <row r="48" spans="1:11" ht="18" customHeight="1" x14ac:dyDescent="0.25">
      <c r="A48" s="30">
        <f>IF($B48="","",41)</f>
        <v>41</v>
      </c>
      <c r="B48" s="31">
        <v>46049</v>
      </c>
      <c r="C48" s="32" t="str">
        <f t="shared" si="3"/>
        <v>BK-YY01-041</v>
      </c>
      <c r="D48" s="33" t="s">
        <v>46</v>
      </c>
      <c r="E48" s="33" t="s">
        <v>47</v>
      </c>
      <c r="F48" s="34">
        <v>0</v>
      </c>
      <c r="G48" s="35"/>
      <c r="H48" s="35">
        <v>6460</v>
      </c>
      <c r="I48" s="35">
        <f t="shared" si="4"/>
        <v>0</v>
      </c>
      <c r="J48" s="35">
        <f t="shared" si="5"/>
        <v>6460</v>
      </c>
      <c r="K48" s="35">
        <f>IF(AND($G48="",$H48=""),"",Stammdaten!$C$7+SUM($G$8:$G48)-SUM($H$8:$H48))</f>
        <v>1596.7999999999993</v>
      </c>
    </row>
    <row r="49" spans="1:11" ht="18" customHeight="1" x14ac:dyDescent="0.25">
      <c r="A49" s="36">
        <f>IF($B49="","",42)</f>
        <v>42</v>
      </c>
      <c r="B49" s="37">
        <v>46049</v>
      </c>
      <c r="C49" s="38" t="str">
        <f t="shared" si="3"/>
        <v>BK-YY01-042</v>
      </c>
      <c r="D49" s="39" t="s">
        <v>36</v>
      </c>
      <c r="E49" s="39" t="s">
        <v>37</v>
      </c>
      <c r="F49" s="40">
        <v>7.0000000000000007E-2</v>
      </c>
      <c r="G49" s="41">
        <v>1512.3</v>
      </c>
      <c r="H49" s="41"/>
      <c r="I49" s="41">
        <f t="shared" si="4"/>
        <v>98.935514018691592</v>
      </c>
      <c r="J49" s="41">
        <f t="shared" si="5"/>
        <v>1413.3644859813085</v>
      </c>
      <c r="K49" s="41">
        <f>IF(AND($G49="",$H49=""),"",Stammdaten!$C$7+SUM($G$8:$G49)-SUM($H$8:$H49))</f>
        <v>3109.0999999999985</v>
      </c>
    </row>
    <row r="50" spans="1:11" ht="18" customHeight="1" x14ac:dyDescent="0.25">
      <c r="A50" s="30">
        <f>IF($B50="","",43)</f>
        <v>43</v>
      </c>
      <c r="B50" s="31">
        <v>46050</v>
      </c>
      <c r="C50" s="32" t="str">
        <f t="shared" si="3"/>
        <v>BK-YY01-043</v>
      </c>
      <c r="D50" s="33" t="s">
        <v>38</v>
      </c>
      <c r="E50" s="33" t="s">
        <v>39</v>
      </c>
      <c r="F50" s="34">
        <v>0.19</v>
      </c>
      <c r="G50" s="35">
        <v>932.7</v>
      </c>
      <c r="H50" s="35"/>
      <c r="I50" s="35">
        <f t="shared" si="4"/>
        <v>148.91848739495802</v>
      </c>
      <c r="J50" s="35">
        <f t="shared" si="5"/>
        <v>783.78151260504205</v>
      </c>
      <c r="K50" s="35">
        <f>IF(AND($G50="",$H50=""),"",Stammdaten!$C$7+SUM($G$8:$G50)-SUM($H$8:$H50))</f>
        <v>4041.7999999999993</v>
      </c>
    </row>
    <row r="51" spans="1:11" ht="18" customHeight="1" x14ac:dyDescent="0.25">
      <c r="A51" s="36">
        <f>IF($B51="","",44)</f>
        <v>44</v>
      </c>
      <c r="B51" s="37">
        <v>46051</v>
      </c>
      <c r="C51" s="38" t="str">
        <f t="shared" si="3"/>
        <v>BK-YY01-044</v>
      </c>
      <c r="D51" s="39" t="s">
        <v>36</v>
      </c>
      <c r="E51" s="39" t="s">
        <v>37</v>
      </c>
      <c r="F51" s="40">
        <v>7.0000000000000007E-2</v>
      </c>
      <c r="G51" s="41">
        <v>1808.5</v>
      </c>
      <c r="H51" s="41"/>
      <c r="I51" s="41">
        <f t="shared" si="4"/>
        <v>118.31308411214954</v>
      </c>
      <c r="J51" s="41">
        <f t="shared" si="5"/>
        <v>1690.1869158878505</v>
      </c>
      <c r="K51" s="41">
        <f>IF(AND($G51="",$H51=""),"",Stammdaten!$C$7+SUM($G$8:$G51)-SUM($H$8:$H51))</f>
        <v>5850.2999999999993</v>
      </c>
    </row>
    <row r="52" spans="1:11" ht="18" customHeight="1" x14ac:dyDescent="0.25">
      <c r="A52" s="30">
        <f>IF($B52="","",45)</f>
        <v>45</v>
      </c>
      <c r="B52" s="31">
        <v>46051</v>
      </c>
      <c r="C52" s="32" t="str">
        <f t="shared" si="3"/>
        <v>BK-YY01-045</v>
      </c>
      <c r="D52" s="33" t="s">
        <v>48</v>
      </c>
      <c r="E52" s="33" t="s">
        <v>49</v>
      </c>
      <c r="F52" s="34">
        <v>0.19</v>
      </c>
      <c r="G52" s="35"/>
      <c r="H52" s="35">
        <v>98.6</v>
      </c>
      <c r="I52" s="35">
        <f t="shared" si="4"/>
        <v>15.742857142857142</v>
      </c>
      <c r="J52" s="35">
        <f t="shared" si="5"/>
        <v>82.857142857142847</v>
      </c>
      <c r="K52" s="35">
        <f>IF(AND($G52="",$H52=""),"",Stammdaten!$C$7+SUM($G$8:$G52)-SUM($H$8:$H52))</f>
        <v>5751.7000000000007</v>
      </c>
    </row>
    <row r="53" spans="1:11" ht="18" customHeight="1" x14ac:dyDescent="0.25">
      <c r="A53" s="36">
        <f>IF($B53="","",46)</f>
        <v>46</v>
      </c>
      <c r="B53" s="37">
        <v>46052</v>
      </c>
      <c r="C53" s="38" t="str">
        <f t="shared" si="3"/>
        <v>BK-YY01-046</v>
      </c>
      <c r="D53" s="39" t="s">
        <v>36</v>
      </c>
      <c r="E53" s="39" t="s">
        <v>37</v>
      </c>
      <c r="F53" s="40">
        <v>7.0000000000000007E-2</v>
      </c>
      <c r="G53" s="41">
        <v>2051.9</v>
      </c>
      <c r="H53" s="41"/>
      <c r="I53" s="41">
        <f t="shared" si="4"/>
        <v>134.23644859813083</v>
      </c>
      <c r="J53" s="41">
        <f t="shared" si="5"/>
        <v>1917.6635514018692</v>
      </c>
      <c r="K53" s="41">
        <f>IF(AND($G53="",$H53=""),"",Stammdaten!$C$7+SUM($G$8:$G53)-SUM($H$8:$H53))</f>
        <v>7803.6000000000022</v>
      </c>
    </row>
    <row r="54" spans="1:11" ht="18" customHeight="1" x14ac:dyDescent="0.25">
      <c r="A54" s="30">
        <f>IF($B54="","",47)</f>
        <v>47</v>
      </c>
      <c r="B54" s="31">
        <v>46052</v>
      </c>
      <c r="C54" s="32" t="str">
        <f t="shared" si="3"/>
        <v>BK-YY01-047</v>
      </c>
      <c r="D54" s="33" t="s">
        <v>38</v>
      </c>
      <c r="E54" s="33" t="s">
        <v>39</v>
      </c>
      <c r="F54" s="34">
        <v>0.19</v>
      </c>
      <c r="G54" s="35">
        <v>1142.3</v>
      </c>
      <c r="H54" s="35"/>
      <c r="I54" s="35">
        <f t="shared" si="4"/>
        <v>182.38403361344538</v>
      </c>
      <c r="J54" s="35">
        <f t="shared" si="5"/>
        <v>959.9159663865546</v>
      </c>
      <c r="K54" s="35">
        <f>IF(AND($G54="",$H54=""),"",Stammdaten!$C$7+SUM($G$8:$G54)-SUM($H$8:$H54))</f>
        <v>8945.9000000000051</v>
      </c>
    </row>
    <row r="55" spans="1:11" ht="18" customHeight="1" x14ac:dyDescent="0.25">
      <c r="A55" s="36">
        <f>IF($B55="","",48)</f>
        <v>48</v>
      </c>
      <c r="B55" s="37">
        <v>46053</v>
      </c>
      <c r="C55" s="38" t="str">
        <f t="shared" si="3"/>
        <v>BK-YY01-048</v>
      </c>
      <c r="D55" s="39" t="s">
        <v>60</v>
      </c>
      <c r="E55" s="39" t="s">
        <v>61</v>
      </c>
      <c r="F55" s="40">
        <v>0</v>
      </c>
      <c r="G55" s="41"/>
      <c r="H55" s="41">
        <v>600</v>
      </c>
      <c r="I55" s="41">
        <f t="shared" si="4"/>
        <v>0</v>
      </c>
      <c r="J55" s="41">
        <f t="shared" si="5"/>
        <v>600</v>
      </c>
      <c r="K55" s="41">
        <f>IF(AND($G55="",$H55=""),"",Stammdaten!$C$7+SUM($G$8:$G55)-SUM($H$8:$H55))</f>
        <v>8345.9000000000051</v>
      </c>
    </row>
    <row r="56" spans="1:11" ht="18" customHeight="1" x14ac:dyDescent="0.25">
      <c r="A56" s="30" t="str">
        <f>IF($B56="","",49)</f>
        <v/>
      </c>
      <c r="B56" s="31"/>
      <c r="C56" s="32" t="str">
        <f t="shared" si="3"/>
        <v/>
      </c>
      <c r="D56" s="33"/>
      <c r="E56" s="33"/>
      <c r="F56" s="34"/>
      <c r="G56" s="35"/>
      <c r="H56" s="35"/>
      <c r="I56" s="35" t="str">
        <f t="shared" si="4"/>
        <v/>
      </c>
      <c r="J56" s="35" t="str">
        <f t="shared" si="5"/>
        <v/>
      </c>
      <c r="K56" s="35" t="str">
        <f>IF(AND($G56="",$H56=""),"",Stammdaten!$C$7+SUM($G$8:$G56)-SUM($H$8:$H56))</f>
        <v/>
      </c>
    </row>
    <row r="57" spans="1:11" ht="18" customHeight="1" x14ac:dyDescent="0.25">
      <c r="A57" s="36" t="str">
        <f>IF($B57="","",50)</f>
        <v/>
      </c>
      <c r="B57" s="37"/>
      <c r="C57" s="38" t="str">
        <f t="shared" si="3"/>
        <v/>
      </c>
      <c r="D57" s="39"/>
      <c r="E57" s="39"/>
      <c r="F57" s="40"/>
      <c r="G57" s="41"/>
      <c r="H57" s="41"/>
      <c r="I57" s="41" t="str">
        <f t="shared" si="4"/>
        <v/>
      </c>
      <c r="J57" s="41" t="str">
        <f t="shared" si="5"/>
        <v/>
      </c>
      <c r="K57" s="41" t="str">
        <f>IF(AND($G57="",$H57=""),"",Stammdaten!$C$7+SUM($G$8:$G57)-SUM($H$8:$H57))</f>
        <v/>
      </c>
    </row>
    <row r="58" spans="1:11" ht="18" customHeight="1" x14ac:dyDescent="0.25">
      <c r="A58" s="30" t="str">
        <f>IF($B58="","",51)</f>
        <v/>
      </c>
      <c r="B58" s="31"/>
      <c r="C58" s="32" t="str">
        <f t="shared" si="3"/>
        <v/>
      </c>
      <c r="D58" s="33"/>
      <c r="E58" s="33"/>
      <c r="F58" s="34"/>
      <c r="G58" s="35"/>
      <c r="H58" s="35"/>
      <c r="I58" s="35" t="str">
        <f t="shared" si="4"/>
        <v/>
      </c>
      <c r="J58" s="35" t="str">
        <f t="shared" si="5"/>
        <v/>
      </c>
      <c r="K58" s="35" t="str">
        <f>IF(AND($G58="",$H58=""),"",Stammdaten!$C$7+SUM($G$8:$G58)-SUM($H$8:$H58))</f>
        <v/>
      </c>
    </row>
    <row r="59" spans="1:11" ht="18" customHeight="1" x14ac:dyDescent="0.25">
      <c r="A59" s="36" t="str">
        <f>IF($B59="","",52)</f>
        <v/>
      </c>
      <c r="B59" s="37"/>
      <c r="C59" s="38" t="str">
        <f t="shared" si="3"/>
        <v/>
      </c>
      <c r="D59" s="39"/>
      <c r="E59" s="39"/>
      <c r="F59" s="40"/>
      <c r="G59" s="41"/>
      <c r="H59" s="41"/>
      <c r="I59" s="41" t="str">
        <f t="shared" si="4"/>
        <v/>
      </c>
      <c r="J59" s="41" t="str">
        <f t="shared" si="5"/>
        <v/>
      </c>
      <c r="K59" s="41" t="str">
        <f>IF(AND($G59="",$H59=""),"",Stammdaten!$C$7+SUM($G$8:$G59)-SUM($H$8:$H59))</f>
        <v/>
      </c>
    </row>
    <row r="60" spans="1:11" ht="18" customHeight="1" x14ac:dyDescent="0.25">
      <c r="A60" s="30" t="str">
        <f>IF($B60="","",53)</f>
        <v/>
      </c>
      <c r="B60" s="31"/>
      <c r="C60" s="32" t="str">
        <f t="shared" si="3"/>
        <v/>
      </c>
      <c r="D60" s="33"/>
      <c r="E60" s="33"/>
      <c r="F60" s="34"/>
      <c r="G60" s="35"/>
      <c r="H60" s="35"/>
      <c r="I60" s="35" t="str">
        <f t="shared" si="4"/>
        <v/>
      </c>
      <c r="J60" s="35" t="str">
        <f t="shared" si="5"/>
        <v/>
      </c>
      <c r="K60" s="35" t="str">
        <f>IF(AND($G60="",$H60=""),"",Stammdaten!$C$7+SUM($G$8:$G60)-SUM($H$8:$H60))</f>
        <v/>
      </c>
    </row>
    <row r="61" spans="1:11" ht="18" customHeight="1" x14ac:dyDescent="0.25">
      <c r="A61" s="36" t="str">
        <f>IF($B61="","",54)</f>
        <v/>
      </c>
      <c r="B61" s="37"/>
      <c r="C61" s="38" t="str">
        <f t="shared" si="3"/>
        <v/>
      </c>
      <c r="D61" s="39"/>
      <c r="E61" s="39"/>
      <c r="F61" s="40"/>
      <c r="G61" s="41"/>
      <c r="H61" s="41"/>
      <c r="I61" s="41" t="str">
        <f t="shared" si="4"/>
        <v/>
      </c>
      <c r="J61" s="41" t="str">
        <f t="shared" si="5"/>
        <v/>
      </c>
      <c r="K61" s="41" t="str">
        <f>IF(AND($G61="",$H61=""),"",Stammdaten!$C$7+SUM($G$8:$G61)-SUM($H$8:$H61))</f>
        <v/>
      </c>
    </row>
    <row r="62" spans="1:11" ht="18" customHeight="1" x14ac:dyDescent="0.25">
      <c r="A62" s="30" t="str">
        <f>IF($B62="","",55)</f>
        <v/>
      </c>
      <c r="B62" s="31"/>
      <c r="C62" s="32" t="str">
        <f t="shared" si="3"/>
        <v/>
      </c>
      <c r="D62" s="33"/>
      <c r="E62" s="33"/>
      <c r="F62" s="34"/>
      <c r="G62" s="35"/>
      <c r="H62" s="35"/>
      <c r="I62" s="35" t="str">
        <f t="shared" si="4"/>
        <v/>
      </c>
      <c r="J62" s="35" t="str">
        <f t="shared" si="5"/>
        <v/>
      </c>
      <c r="K62" s="35" t="str">
        <f>IF(AND($G62="",$H62=""),"",Stammdaten!$C$7+SUM($G$8:$G62)-SUM($H$8:$H62))</f>
        <v/>
      </c>
    </row>
    <row r="63" spans="1:11" ht="18" customHeight="1" x14ac:dyDescent="0.25">
      <c r="A63" s="36" t="str">
        <f>IF($B63="","",56)</f>
        <v/>
      </c>
      <c r="B63" s="37"/>
      <c r="C63" s="38" t="str">
        <f t="shared" si="3"/>
        <v/>
      </c>
      <c r="D63" s="39"/>
      <c r="E63" s="39"/>
      <c r="F63" s="40"/>
      <c r="G63" s="41"/>
      <c r="H63" s="41"/>
      <c r="I63" s="41" t="str">
        <f t="shared" si="4"/>
        <v/>
      </c>
      <c r="J63" s="41" t="str">
        <f t="shared" si="5"/>
        <v/>
      </c>
      <c r="K63" s="41" t="str">
        <f>IF(AND($G63="",$H63=""),"",Stammdaten!$C$7+SUM($G$8:$G63)-SUM($H$8:$H63))</f>
        <v/>
      </c>
    </row>
    <row r="64" spans="1:11" ht="18" customHeight="1" x14ac:dyDescent="0.25">
      <c r="A64" s="30" t="str">
        <f>IF($B64="","",57)</f>
        <v/>
      </c>
      <c r="B64" s="31"/>
      <c r="C64" s="32" t="str">
        <f t="shared" si="3"/>
        <v/>
      </c>
      <c r="D64" s="33"/>
      <c r="E64" s="33"/>
      <c r="F64" s="34"/>
      <c r="G64" s="35"/>
      <c r="H64" s="35"/>
      <c r="I64" s="35" t="str">
        <f t="shared" si="4"/>
        <v/>
      </c>
      <c r="J64" s="35" t="str">
        <f t="shared" si="5"/>
        <v/>
      </c>
      <c r="K64" s="35" t="str">
        <f>IF(AND($G64="",$H64=""),"",Stammdaten!$C$7+SUM($G$8:$G64)-SUM($H$8:$H64))</f>
        <v/>
      </c>
    </row>
    <row r="65" spans="1:11" ht="18" customHeight="1" x14ac:dyDescent="0.25">
      <c r="A65" s="36" t="str">
        <f>IF($B65="","",58)</f>
        <v/>
      </c>
      <c r="B65" s="37"/>
      <c r="C65" s="38" t="str">
        <f t="shared" si="3"/>
        <v/>
      </c>
      <c r="D65" s="39"/>
      <c r="E65" s="39"/>
      <c r="F65" s="40"/>
      <c r="G65" s="41"/>
      <c r="H65" s="41"/>
      <c r="I65" s="41" t="str">
        <f t="shared" si="4"/>
        <v/>
      </c>
      <c r="J65" s="41" t="str">
        <f t="shared" si="5"/>
        <v/>
      </c>
      <c r="K65" s="41" t="str">
        <f>IF(AND($G65="",$H65=""),"",Stammdaten!$C$7+SUM($G$8:$G65)-SUM($H$8:$H65))</f>
        <v/>
      </c>
    </row>
    <row r="66" spans="1:1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24" customHeight="1" x14ac:dyDescent="0.25">
      <c r="A67" s="3" t="s">
        <v>62</v>
      </c>
      <c r="B67" s="3"/>
      <c r="C67" s="3"/>
      <c r="D67" s="3"/>
      <c r="E67" s="3"/>
      <c r="F67" s="3"/>
      <c r="G67" s="42">
        <f>SUM(G8:G65)</f>
        <v>38370.700000000004</v>
      </c>
      <c r="H67" s="42">
        <f>SUM(H8:H65)</f>
        <v>30324.799999999999</v>
      </c>
      <c r="I67" s="42">
        <f>SUM(I8:I65)</f>
        <v>3819.9352077279514</v>
      </c>
      <c r="J67" s="42">
        <f>SUM(J8:J65)</f>
        <v>64875.564792272045</v>
      </c>
      <c r="K67" s="42">
        <f>Stammdaten!$C$7+SUM(G8:G65)-SUM(H8:H65)</f>
        <v>8345.9000000000051</v>
      </c>
    </row>
    <row r="68" spans="1:11" x14ac:dyDescent="0.25">
      <c r="A68" s="2" t="s">
        <v>63</v>
      </c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</sheetData>
  <mergeCells count="8">
    <mergeCell ref="A67:F67"/>
    <mergeCell ref="A68:K68"/>
    <mergeCell ref="A2:H2"/>
    <mergeCell ref="I2:K2"/>
    <mergeCell ref="A3:H3"/>
    <mergeCell ref="I3:K3"/>
    <mergeCell ref="A6:B6"/>
    <mergeCell ref="F6:K6"/>
  </mergeCells>
  <conditionalFormatting sqref="G8:G65">
    <cfRule type="expression" dxfId="4" priority="2">
      <formula>$G8&gt;0</formula>
    </cfRule>
  </conditionalFormatting>
  <conditionalFormatting sqref="H8:H65">
    <cfRule type="expression" dxfId="3" priority="3">
      <formula>$H8&gt;0</formula>
    </cfRule>
  </conditionalFormatting>
  <conditionalFormatting sqref="K8:K65">
    <cfRule type="expression" dxfId="2" priority="4">
      <formula>AND($K8&lt;&gt;"",$K8&lt;0)</formula>
    </cfRule>
  </conditionalFormatting>
  <dataValidations count="1">
    <dataValidation type="list" allowBlank="1" sqref="F8:F65" xr:uid="{00000000-0002-0000-0100-000001000000}">
      <formula1>"0.19,0.07,0"</formula1>
      <formula2>0</formula2>
    </dataValidation>
  </dataValidations>
  <pageMargins left="0.35" right="0.35" top="0.45" bottom="0.4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Stammdaten!$B$11:$B$24</xm:f>
          </x14:formula1>
          <x14:formula2>
            <xm:f>0</xm:f>
          </x14:formula2>
          <xm:sqref>E8:E65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5652D"/>
    <pageSetUpPr fitToPage="1"/>
  </sheetPr>
  <dimension ref="A1:N46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1" customWidth="1"/>
    <col min="3" max="3" width="13" customWidth="1"/>
    <col min="4" max="4" width="3" customWidth="1"/>
    <col min="5" max="5" width="21" customWidth="1"/>
    <col min="6" max="6" width="13" customWidth="1"/>
    <col min="7" max="7" width="3" customWidth="1"/>
    <col min="8" max="8" width="21" customWidth="1"/>
    <col min="9" max="9" width="13" customWidth="1"/>
    <col min="10" max="11" width="3" customWidth="1"/>
    <col min="13" max="14" width="11" customWidth="1"/>
  </cols>
  <sheetData>
    <row r="1" spans="1:11" ht="9.7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5"/>
      <c r="B2" s="14" t="s">
        <v>64</v>
      </c>
      <c r="C2" s="14"/>
      <c r="D2" s="14"/>
      <c r="E2" s="14"/>
      <c r="F2" s="14"/>
      <c r="G2" s="14"/>
      <c r="H2" s="7" t="s">
        <v>65</v>
      </c>
      <c r="I2" s="7"/>
      <c r="J2" s="7"/>
      <c r="K2" s="15"/>
    </row>
    <row r="3" spans="1:11" ht="30" customHeight="1" x14ac:dyDescent="0.25">
      <c r="A3" s="15"/>
      <c r="B3" s="13" t="s">
        <v>12</v>
      </c>
      <c r="C3" s="13"/>
      <c r="D3" s="13"/>
      <c r="E3" s="13"/>
      <c r="F3" s="13"/>
      <c r="G3" s="13"/>
      <c r="H3" s="6" t="s">
        <v>24</v>
      </c>
      <c r="I3" s="6"/>
      <c r="J3" s="6"/>
      <c r="K3" s="15"/>
    </row>
    <row r="4" spans="1:11" ht="7.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3" customHeight="1" x14ac:dyDescent="0.25">
      <c r="A5" s="15"/>
      <c r="B5" s="16"/>
      <c r="C5" s="16"/>
      <c r="D5" s="16"/>
      <c r="E5" s="16"/>
      <c r="F5" s="16"/>
      <c r="G5" s="16"/>
      <c r="H5" s="16"/>
      <c r="I5" s="16"/>
      <c r="J5" s="16"/>
      <c r="K5" s="15"/>
    </row>
    <row r="6" spans="1:1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5" customHeight="1" x14ac:dyDescent="0.25">
      <c r="A7" s="15"/>
      <c r="B7" s="1" t="s">
        <v>3</v>
      </c>
      <c r="C7" s="1"/>
      <c r="D7" s="15"/>
      <c r="E7" s="73" t="s">
        <v>4</v>
      </c>
      <c r="F7" s="73"/>
      <c r="G7" s="15"/>
      <c r="H7" s="74" t="s">
        <v>5</v>
      </c>
      <c r="I7" s="74"/>
      <c r="J7" s="15"/>
      <c r="K7" s="15"/>
    </row>
    <row r="8" spans="1:11" ht="31.5" customHeight="1" x14ac:dyDescent="0.25">
      <c r="A8" s="15"/>
      <c r="B8" s="75">
        <f>SUM(Kassenbuch!$G$8:$G$65)</f>
        <v>38370.700000000004</v>
      </c>
      <c r="C8" s="75"/>
      <c r="D8" s="15"/>
      <c r="E8" s="76">
        <f>SUM(Kassenbuch!$H$8:$H$65)</f>
        <v>30324.799999999999</v>
      </c>
      <c r="F8" s="76"/>
      <c r="G8" s="15"/>
      <c r="H8" s="77">
        <f>Stammdaten!$C$7+SUM(Kassenbuch!$G$8:$G$65)-SUM(Kassenbuch!$H$8:$H$65)</f>
        <v>8345.9000000000051</v>
      </c>
      <c r="I8" s="77"/>
      <c r="J8" s="15"/>
      <c r="K8" s="15"/>
    </row>
    <row r="9" spans="1:11" ht="12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5" customHeight="1" x14ac:dyDescent="0.25">
      <c r="A10" s="15"/>
      <c r="B10" s="78" t="s">
        <v>66</v>
      </c>
      <c r="C10" s="78"/>
      <c r="D10" s="15"/>
      <c r="E10" s="79" t="s">
        <v>67</v>
      </c>
      <c r="F10" s="79"/>
      <c r="G10" s="15"/>
      <c r="H10" s="80" t="s">
        <v>68</v>
      </c>
      <c r="I10" s="80"/>
      <c r="J10" s="15"/>
      <c r="K10" s="15"/>
    </row>
    <row r="11" spans="1:11" ht="31.5" customHeight="1" x14ac:dyDescent="0.25">
      <c r="A11" s="15"/>
      <c r="B11" s="81">
        <f>SUMIF(Kassenbuch!$E$8:$E$65,"Umsatz*",Kassenbuch!$G$8:$G$65)-SUMIF(Kassenbuch!$E$8:$E$65,"Umsatz*",Kassenbuch!$I$8:$I$65)</f>
        <v>34603.446163512141</v>
      </c>
      <c r="C11" s="81"/>
      <c r="D11" s="15"/>
      <c r="E11" s="82">
        <f>SUMIF(Kassenbuch!$E$8:$E$65,"Umsatz*",Kassenbuch!$I$8:$I$65)</f>
        <v>3596.7538364878674</v>
      </c>
      <c r="F11" s="82"/>
      <c r="G11" s="15"/>
      <c r="H11" s="83">
        <f>SUM(Kassenbuch!$G$8:$G$65)-SUM(Kassenbuch!$H$8:$H$65)</f>
        <v>8045.9000000000051</v>
      </c>
      <c r="I11" s="83"/>
      <c r="J11" s="15"/>
      <c r="K11" s="15"/>
    </row>
    <row r="12" spans="1:11" ht="13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/>
      <c r="B14" s="84" t="s">
        <v>69</v>
      </c>
      <c r="C14" s="84"/>
      <c r="D14" s="15"/>
      <c r="E14" s="85" t="s">
        <v>70</v>
      </c>
      <c r="F14" s="85"/>
      <c r="G14" s="15"/>
      <c r="H14" s="86" t="s">
        <v>71</v>
      </c>
      <c r="I14" s="86"/>
      <c r="J14" s="15"/>
      <c r="K14" s="15"/>
    </row>
    <row r="15" spans="1:11" x14ac:dyDescent="0.25">
      <c r="A15" s="15"/>
      <c r="B15" s="43" t="s">
        <v>37</v>
      </c>
      <c r="C15" s="44">
        <f>SUMIF(Kassenbuch!$E$8:$E$65,$B15,Kassenbuch!$G$8:$G$65)</f>
        <v>25831.850000000002</v>
      </c>
      <c r="D15" s="15"/>
      <c r="E15" s="43" t="s">
        <v>41</v>
      </c>
      <c r="F15" s="44">
        <f>SUMIF(Kassenbuch!$E$8:$E$65,$E15,Kassenbuch!$H$8:$H$65)</f>
        <v>774.2</v>
      </c>
      <c r="G15" s="15"/>
      <c r="H15" s="43" t="s">
        <v>72</v>
      </c>
      <c r="I15" s="44">
        <f>SUMIF(Kassenbuch!$F$8:$F$65,0.19,Kassenbuch!$I$8:$I$65)</f>
        <v>2032.1777310924372</v>
      </c>
      <c r="J15" s="15"/>
      <c r="K15" s="15"/>
    </row>
    <row r="16" spans="1:11" x14ac:dyDescent="0.25">
      <c r="A16" s="15"/>
      <c r="B16" s="43" t="s">
        <v>39</v>
      </c>
      <c r="C16" s="44">
        <f>SUMIF(Kassenbuch!$E$8:$E$65,$B16,Kassenbuch!$G$8:$G$65)</f>
        <v>11647.25</v>
      </c>
      <c r="D16" s="15"/>
      <c r="E16" s="43" t="s">
        <v>43</v>
      </c>
      <c r="F16" s="44">
        <f>SUMIF(Kassenbuch!$E$8:$E$65,$E16,Kassenbuch!$H$8:$H$65)</f>
        <v>604.4</v>
      </c>
      <c r="G16" s="15"/>
      <c r="H16" s="43" t="s">
        <v>73</v>
      </c>
      <c r="I16" s="44">
        <f>SUMIF(Kassenbuch!$F$8:$F$65,0.07,Kassenbuch!$I$8:$I$65)</f>
        <v>1787.757476635514</v>
      </c>
      <c r="J16" s="15"/>
      <c r="K16" s="15"/>
    </row>
    <row r="17" spans="1:14" x14ac:dyDescent="0.25">
      <c r="A17" s="15"/>
      <c r="B17" s="43" t="s">
        <v>53</v>
      </c>
      <c r="C17" s="44">
        <f>SUMIF(Kassenbuch!$E$8:$E$65,$B17,Kassenbuch!$G$8:$G$65)</f>
        <v>721.09999999999991</v>
      </c>
      <c r="D17" s="15"/>
      <c r="E17" s="43" t="s">
        <v>51</v>
      </c>
      <c r="F17" s="44">
        <f>SUMIF(Kassenbuch!$E$8:$E$65,$E17,Kassenbuch!$H$8:$H$65)</f>
        <v>450</v>
      </c>
      <c r="G17" s="15"/>
      <c r="H17" s="43" t="s">
        <v>74</v>
      </c>
      <c r="I17" s="44">
        <f>SUMIF(Kassenbuch!$F$8:$F$65,0,Kassenbuch!$I$8:$I$65)</f>
        <v>0</v>
      </c>
      <c r="J17" s="15"/>
      <c r="K17" s="15"/>
    </row>
    <row r="18" spans="1:14" x14ac:dyDescent="0.25">
      <c r="A18" s="15"/>
      <c r="B18" s="43" t="s">
        <v>45</v>
      </c>
      <c r="C18" s="44">
        <f>SUMIF(Kassenbuch!$E$8:$E$65,$B18,Kassenbuch!$G$8:$G$65)</f>
        <v>170.5</v>
      </c>
      <c r="D18" s="15"/>
      <c r="E18" s="43" t="s">
        <v>59</v>
      </c>
      <c r="F18" s="44">
        <f>SUMIF(Kassenbuch!$E$8:$E$65,$E18,Kassenbuch!$H$8:$H$65)</f>
        <v>1450</v>
      </c>
      <c r="G18" s="15"/>
      <c r="H18" s="15"/>
      <c r="I18" s="15"/>
      <c r="J18" s="15"/>
      <c r="K18" s="15"/>
    </row>
    <row r="19" spans="1:14" x14ac:dyDescent="0.25">
      <c r="A19" s="15"/>
      <c r="B19" s="43" t="s">
        <v>75</v>
      </c>
      <c r="C19" s="44">
        <f>SUMIF(Kassenbuch!$E$8:$E$65,$B19,Kassenbuch!$G$8:$G$65)</f>
        <v>0</v>
      </c>
      <c r="D19" s="15"/>
      <c r="E19" s="43" t="s">
        <v>49</v>
      </c>
      <c r="F19" s="44">
        <f>SUMIF(Kassenbuch!$E$8:$E$65,$E19,Kassenbuch!$H$8:$H$65)</f>
        <v>240.9</v>
      </c>
      <c r="G19" s="15"/>
      <c r="H19" s="45" t="s">
        <v>76</v>
      </c>
      <c r="I19" s="46">
        <f>SUMIF(Kassenbuch!$E$8:$E$65,"Bankeinzahlung",Kassenbuch!$H$8:$H$65)+SUMIF(Kassenbuch!$E$8:$E$65,"Privatentnahme",Kassenbuch!$H$8:$H$65)</f>
        <v>26570</v>
      </c>
      <c r="J19" s="15"/>
      <c r="K19" s="15"/>
    </row>
    <row r="20" spans="1:14" x14ac:dyDescent="0.25">
      <c r="A20" s="15"/>
      <c r="B20" s="15"/>
      <c r="C20" s="15"/>
      <c r="D20" s="15"/>
      <c r="E20" s="43" t="s">
        <v>55</v>
      </c>
      <c r="F20" s="44">
        <f>SUMIF(Kassenbuch!$E$8:$E$65,$E20,Kassenbuch!$H$8:$H$65)</f>
        <v>176.4</v>
      </c>
      <c r="G20" s="15"/>
      <c r="H20" s="15"/>
      <c r="I20" s="15"/>
      <c r="J20" s="15"/>
      <c r="K20" s="15"/>
    </row>
    <row r="21" spans="1:14" x14ac:dyDescent="0.25">
      <c r="A21" s="15"/>
      <c r="B21" s="15"/>
      <c r="C21" s="15"/>
      <c r="D21" s="15"/>
      <c r="E21" s="43" t="s">
        <v>57</v>
      </c>
      <c r="F21" s="44">
        <f>SUMIF(Kassenbuch!$E$8:$E$65,$E21,Kassenbuch!$H$8:$H$65)</f>
        <v>58.9</v>
      </c>
      <c r="G21" s="15"/>
      <c r="H21" s="15"/>
      <c r="I21" s="15"/>
      <c r="J21" s="15"/>
      <c r="K21" s="15"/>
    </row>
    <row r="22" spans="1:14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4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4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4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4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M26" t="s">
        <v>77</v>
      </c>
      <c r="N26" s="47">
        <f>SUM(Kassenbuch!$G$8:$G$65)</f>
        <v>38370.700000000004</v>
      </c>
    </row>
    <row r="27" spans="1:14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M27" t="s">
        <v>78</v>
      </c>
      <c r="N27" s="47">
        <f>SUM(Kassenbuch!$H$8:$H$65)</f>
        <v>30324.799999999999</v>
      </c>
    </row>
    <row r="28" spans="1:14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4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4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4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4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</sheetData>
  <mergeCells count="19">
    <mergeCell ref="B11:C11"/>
    <mergeCell ref="E11:F11"/>
    <mergeCell ref="H11:I11"/>
    <mergeCell ref="B14:C14"/>
    <mergeCell ref="E14:F14"/>
    <mergeCell ref="H14:I14"/>
    <mergeCell ref="B8:C8"/>
    <mergeCell ref="E8:F8"/>
    <mergeCell ref="H8:I8"/>
    <mergeCell ref="B10:C10"/>
    <mergeCell ref="E10:F10"/>
    <mergeCell ref="H10:I10"/>
    <mergeCell ref="B2:G2"/>
    <mergeCell ref="H2:J2"/>
    <mergeCell ref="B3:G3"/>
    <mergeCell ref="H3:J3"/>
    <mergeCell ref="B7:C7"/>
    <mergeCell ref="E7:F7"/>
    <mergeCell ref="H7:I7"/>
  </mergeCells>
  <pageMargins left="0.35" right="0.35" top="0.45" bottom="0.45" header="0.511811023622047" footer="0.511811023622047"/>
  <pageSetup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A7A1F"/>
    <pageSetUpPr fitToPage="1"/>
  </sheetPr>
  <dimension ref="A1:H34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0" customWidth="1"/>
    <col min="3" max="3" width="10" customWidth="1"/>
    <col min="4" max="4" width="14" customWidth="1"/>
    <col min="5" max="5" width="4" hidden="1" customWidth="1"/>
    <col min="6" max="6" width="24" customWidth="1"/>
    <col min="7" max="7" width="16" customWidth="1"/>
    <col min="8" max="8" width="3" customWidth="1"/>
  </cols>
  <sheetData>
    <row r="1" spans="1:8" ht="9.75" customHeight="1" x14ac:dyDescent="0.25">
      <c r="A1" s="15"/>
      <c r="B1" s="15"/>
      <c r="C1" s="15"/>
      <c r="D1" s="15"/>
      <c r="E1" s="15"/>
      <c r="F1" s="15"/>
      <c r="G1" s="15"/>
      <c r="H1" s="15"/>
    </row>
    <row r="2" spans="1:8" ht="15" customHeight="1" x14ac:dyDescent="0.25">
      <c r="A2" s="15"/>
      <c r="B2" s="14" t="s">
        <v>79</v>
      </c>
      <c r="C2" s="14"/>
      <c r="D2" s="14"/>
      <c r="E2" s="7" t="s">
        <v>80</v>
      </c>
      <c r="F2" s="7"/>
      <c r="G2" s="7"/>
      <c r="H2" s="15"/>
    </row>
    <row r="3" spans="1:8" ht="30" customHeight="1" x14ac:dyDescent="0.25">
      <c r="A3" s="15"/>
      <c r="B3" s="13" t="s">
        <v>15</v>
      </c>
      <c r="C3" s="13"/>
      <c r="D3" s="13"/>
      <c r="E3" s="6" t="s">
        <v>24</v>
      </c>
      <c r="F3" s="6"/>
      <c r="G3" s="6"/>
      <c r="H3" s="15"/>
    </row>
    <row r="4" spans="1:8" ht="7.5" customHeight="1" x14ac:dyDescent="0.25">
      <c r="A4" s="15"/>
      <c r="B4" s="15"/>
      <c r="C4" s="15"/>
      <c r="D4" s="15"/>
      <c r="E4" s="15"/>
      <c r="F4" s="15"/>
      <c r="G4" s="15"/>
      <c r="H4" s="15"/>
    </row>
    <row r="5" spans="1:8" ht="3" customHeight="1" x14ac:dyDescent="0.25">
      <c r="A5" s="15"/>
      <c r="B5" s="16"/>
      <c r="C5" s="16"/>
      <c r="D5" s="16"/>
      <c r="E5" s="16"/>
      <c r="F5" s="16"/>
      <c r="G5" s="16"/>
      <c r="H5" s="15"/>
    </row>
    <row r="6" spans="1:8" x14ac:dyDescent="0.25">
      <c r="A6" s="15"/>
      <c r="B6" s="15"/>
      <c r="C6" s="15"/>
      <c r="D6" s="15"/>
      <c r="E6" s="15"/>
      <c r="F6" s="15"/>
      <c r="G6" s="15"/>
      <c r="H6" s="15"/>
    </row>
    <row r="7" spans="1:8" x14ac:dyDescent="0.25">
      <c r="A7" s="15"/>
      <c r="B7" s="87" t="s">
        <v>81</v>
      </c>
      <c r="C7" s="87"/>
      <c r="D7" s="87"/>
      <c r="E7" s="15"/>
      <c r="F7" s="88" t="s">
        <v>82</v>
      </c>
      <c r="G7" s="88"/>
      <c r="H7" s="15"/>
    </row>
    <row r="8" spans="1:8" x14ac:dyDescent="0.25">
      <c r="A8" s="15"/>
      <c r="B8" s="48" t="s">
        <v>83</v>
      </c>
      <c r="C8" s="49" t="s">
        <v>84</v>
      </c>
      <c r="D8" s="50" t="s">
        <v>85</v>
      </c>
      <c r="E8" s="15"/>
      <c r="F8" s="15"/>
      <c r="G8" s="15"/>
      <c r="H8" s="15"/>
    </row>
    <row r="9" spans="1:8" ht="21.75" customHeight="1" x14ac:dyDescent="0.25">
      <c r="A9" s="15"/>
      <c r="B9" s="43" t="s">
        <v>86</v>
      </c>
      <c r="C9" s="51">
        <v>0</v>
      </c>
      <c r="D9" s="52">
        <f t="shared" ref="D9:D23" si="0">N($C9)*$E9</f>
        <v>0</v>
      </c>
      <c r="E9" s="53">
        <v>500</v>
      </c>
      <c r="F9" s="54" t="s">
        <v>87</v>
      </c>
      <c r="G9" s="55">
        <f>Kassenbuch!$K$67</f>
        <v>8345.9000000000051</v>
      </c>
      <c r="H9" s="15"/>
    </row>
    <row r="10" spans="1:8" ht="21.75" customHeight="1" x14ac:dyDescent="0.25">
      <c r="A10" s="15"/>
      <c r="B10" s="43" t="s">
        <v>88</v>
      </c>
      <c r="C10" s="51">
        <v>0</v>
      </c>
      <c r="D10" s="52">
        <f t="shared" si="0"/>
        <v>0</v>
      </c>
      <c r="E10" s="53">
        <v>200</v>
      </c>
      <c r="F10" s="54" t="s">
        <v>89</v>
      </c>
      <c r="G10" s="55">
        <f>D24</f>
        <v>8345.9</v>
      </c>
      <c r="H10" s="15"/>
    </row>
    <row r="11" spans="1:8" ht="21.75" customHeight="1" x14ac:dyDescent="0.25">
      <c r="A11" s="15"/>
      <c r="B11" s="43" t="s">
        <v>90</v>
      </c>
      <c r="C11" s="51">
        <v>40</v>
      </c>
      <c r="D11" s="52">
        <f t="shared" si="0"/>
        <v>4000</v>
      </c>
      <c r="E11" s="53">
        <v>100</v>
      </c>
      <c r="F11" s="56" t="s">
        <v>91</v>
      </c>
      <c r="G11" s="57">
        <f>D24-Kassenbuch!$K$67</f>
        <v>0</v>
      </c>
      <c r="H11" s="15"/>
    </row>
    <row r="12" spans="1:8" x14ac:dyDescent="0.25">
      <c r="A12" s="15"/>
      <c r="B12" s="43" t="s">
        <v>92</v>
      </c>
      <c r="C12" s="51">
        <v>50</v>
      </c>
      <c r="D12" s="52">
        <f t="shared" si="0"/>
        <v>2500</v>
      </c>
      <c r="E12" s="53">
        <v>50</v>
      </c>
      <c r="F12" s="15"/>
      <c r="G12" s="15"/>
      <c r="H12" s="15"/>
    </row>
    <row r="13" spans="1:8" ht="21.75" customHeight="1" x14ac:dyDescent="0.25">
      <c r="A13" s="15"/>
      <c r="B13" s="43" t="s">
        <v>93</v>
      </c>
      <c r="C13" s="51">
        <v>50</v>
      </c>
      <c r="D13" s="52">
        <f t="shared" si="0"/>
        <v>1000</v>
      </c>
      <c r="E13" s="53">
        <v>20</v>
      </c>
      <c r="F13" s="54" t="s">
        <v>94</v>
      </c>
      <c r="G13" s="58">
        <f ca="1">Stammdaten!$C$6</f>
        <v>46306</v>
      </c>
      <c r="H13" s="15"/>
    </row>
    <row r="14" spans="1:8" ht="21.75" customHeight="1" x14ac:dyDescent="0.25">
      <c r="A14" s="15"/>
      <c r="B14" s="43" t="s">
        <v>95</v>
      </c>
      <c r="C14" s="51">
        <v>50</v>
      </c>
      <c r="D14" s="52">
        <f t="shared" si="0"/>
        <v>500</v>
      </c>
      <c r="E14" s="53">
        <v>10</v>
      </c>
      <c r="F14" s="54" t="s">
        <v>96</v>
      </c>
      <c r="G14" s="59" t="str">
        <f>Stammdaten!$C$8</f>
        <v>K. Reinholt</v>
      </c>
      <c r="H14" s="15"/>
    </row>
    <row r="15" spans="1:8" x14ac:dyDescent="0.25">
      <c r="A15" s="15"/>
      <c r="B15" s="43" t="s">
        <v>97</v>
      </c>
      <c r="C15" s="51">
        <v>40</v>
      </c>
      <c r="D15" s="52">
        <f t="shared" si="0"/>
        <v>200</v>
      </c>
      <c r="E15" s="53">
        <v>5</v>
      </c>
      <c r="F15" s="15"/>
      <c r="G15" s="15"/>
      <c r="H15" s="15"/>
    </row>
    <row r="16" spans="1:8" ht="25.5" customHeight="1" x14ac:dyDescent="0.25">
      <c r="A16" s="15"/>
      <c r="B16" s="43" t="s">
        <v>98</v>
      </c>
      <c r="C16" s="51">
        <v>60</v>
      </c>
      <c r="D16" s="52">
        <f t="shared" si="0"/>
        <v>120</v>
      </c>
      <c r="E16" s="53">
        <v>2</v>
      </c>
      <c r="F16" s="89" t="str">
        <f>IF(ROUND(D24-Kassenbuch!$K$67,2)=0,"✓   Kasse stimmt",IF(D24-Kassenbuch!$K$67&gt;0,"▲   Überschuss – bitte prüfen","▼   Fehlbetrag – bitte prüfen"))</f>
        <v>✓   Kasse stimmt</v>
      </c>
      <c r="G16" s="89"/>
      <c r="H16" s="15"/>
    </row>
    <row r="17" spans="1:8" x14ac:dyDescent="0.25">
      <c r="A17" s="15"/>
      <c r="B17" s="43" t="s">
        <v>99</v>
      </c>
      <c r="C17" s="51">
        <v>20</v>
      </c>
      <c r="D17" s="52">
        <f t="shared" si="0"/>
        <v>20</v>
      </c>
      <c r="E17" s="53">
        <v>1</v>
      </c>
      <c r="F17" s="15"/>
      <c r="G17" s="15"/>
      <c r="H17" s="15"/>
    </row>
    <row r="18" spans="1:8" ht="15" customHeight="1" x14ac:dyDescent="0.25">
      <c r="A18" s="15"/>
      <c r="B18" s="43" t="s">
        <v>100</v>
      </c>
      <c r="C18" s="51">
        <v>8</v>
      </c>
      <c r="D18" s="52">
        <f t="shared" si="0"/>
        <v>4</v>
      </c>
      <c r="E18" s="53">
        <v>0.5</v>
      </c>
      <c r="F18" s="90" t="s">
        <v>101</v>
      </c>
      <c r="G18" s="90"/>
      <c r="H18" s="15"/>
    </row>
    <row r="19" spans="1:8" x14ac:dyDescent="0.25">
      <c r="A19" s="15"/>
      <c r="B19" s="43" t="s">
        <v>102</v>
      </c>
      <c r="C19" s="51">
        <v>8</v>
      </c>
      <c r="D19" s="52">
        <f t="shared" si="0"/>
        <v>1.6</v>
      </c>
      <c r="E19" s="53">
        <v>0.2</v>
      </c>
      <c r="F19" s="90"/>
      <c r="G19" s="90"/>
      <c r="H19" s="15"/>
    </row>
    <row r="20" spans="1:8" x14ac:dyDescent="0.25">
      <c r="A20" s="15"/>
      <c r="B20" s="43" t="s">
        <v>103</v>
      </c>
      <c r="C20" s="51">
        <v>3</v>
      </c>
      <c r="D20" s="52">
        <f t="shared" si="0"/>
        <v>0.30000000000000004</v>
      </c>
      <c r="E20" s="53">
        <v>0.1</v>
      </c>
      <c r="F20" s="90"/>
      <c r="G20" s="90"/>
      <c r="H20" s="15"/>
    </row>
    <row r="21" spans="1:8" x14ac:dyDescent="0.25">
      <c r="A21" s="15"/>
      <c r="B21" s="43" t="s">
        <v>104</v>
      </c>
      <c r="C21" s="51">
        <v>0</v>
      </c>
      <c r="D21" s="52">
        <f t="shared" si="0"/>
        <v>0</v>
      </c>
      <c r="E21" s="53">
        <v>0.05</v>
      </c>
      <c r="F21" s="90"/>
      <c r="G21" s="90"/>
      <c r="H21" s="15"/>
    </row>
    <row r="22" spans="1:8" x14ac:dyDescent="0.25">
      <c r="A22" s="15"/>
      <c r="B22" s="43" t="s">
        <v>105</v>
      </c>
      <c r="C22" s="51">
        <v>0</v>
      </c>
      <c r="D22" s="52">
        <f t="shared" si="0"/>
        <v>0</v>
      </c>
      <c r="E22" s="53">
        <v>0.02</v>
      </c>
      <c r="F22" s="15"/>
      <c r="G22" s="15"/>
      <c r="H22" s="15"/>
    </row>
    <row r="23" spans="1:8" x14ac:dyDescent="0.25">
      <c r="A23" s="15"/>
      <c r="B23" s="43" t="s">
        <v>106</v>
      </c>
      <c r="C23" s="51">
        <v>0</v>
      </c>
      <c r="D23" s="52">
        <f t="shared" si="0"/>
        <v>0</v>
      </c>
      <c r="E23" s="53">
        <v>0.01</v>
      </c>
      <c r="F23" s="15"/>
      <c r="G23" s="15"/>
      <c r="H23" s="15"/>
    </row>
    <row r="24" spans="1:8" ht="21.75" customHeight="1" x14ac:dyDescent="0.25">
      <c r="A24" s="15"/>
      <c r="B24" s="91" t="s">
        <v>89</v>
      </c>
      <c r="C24" s="91"/>
      <c r="D24" s="60">
        <f>SUM(D9:D23)</f>
        <v>8345.9</v>
      </c>
      <c r="E24" s="15"/>
      <c r="F24" s="15"/>
      <c r="G24" s="15"/>
      <c r="H24" s="15"/>
    </row>
    <row r="25" spans="1:8" x14ac:dyDescent="0.25">
      <c r="A25" s="15"/>
      <c r="B25" s="15"/>
      <c r="C25" s="15"/>
      <c r="D25" s="15"/>
      <c r="E25" s="15"/>
      <c r="F25" s="15"/>
      <c r="G25" s="15"/>
      <c r="H25" s="15"/>
    </row>
    <row r="26" spans="1:8" x14ac:dyDescent="0.25">
      <c r="A26" s="15"/>
      <c r="B26" s="15"/>
      <c r="C26" s="15"/>
      <c r="D26" s="15"/>
      <c r="E26" s="15"/>
      <c r="F26" s="15"/>
      <c r="G26" s="15"/>
      <c r="H26" s="15"/>
    </row>
    <row r="27" spans="1:8" x14ac:dyDescent="0.25">
      <c r="A27" s="15"/>
      <c r="B27" s="15"/>
      <c r="C27" s="15"/>
      <c r="D27" s="15"/>
      <c r="E27" s="15"/>
      <c r="F27" s="15"/>
      <c r="G27" s="15"/>
      <c r="H27" s="15"/>
    </row>
    <row r="28" spans="1:8" x14ac:dyDescent="0.25">
      <c r="A28" s="15"/>
      <c r="B28" s="15"/>
      <c r="C28" s="15"/>
      <c r="D28" s="15"/>
      <c r="E28" s="15"/>
      <c r="F28" s="15"/>
      <c r="G28" s="15"/>
      <c r="H28" s="15"/>
    </row>
    <row r="29" spans="1:8" x14ac:dyDescent="0.25">
      <c r="A29" s="15"/>
      <c r="B29" s="15"/>
      <c r="C29" s="15"/>
      <c r="D29" s="15"/>
      <c r="E29" s="15"/>
      <c r="F29" s="15"/>
      <c r="G29" s="15"/>
      <c r="H29" s="15"/>
    </row>
    <row r="30" spans="1:8" x14ac:dyDescent="0.25">
      <c r="A30" s="15"/>
      <c r="B30" s="15"/>
      <c r="C30" s="15"/>
      <c r="D30" s="15"/>
      <c r="E30" s="15"/>
      <c r="F30" s="15"/>
      <c r="G30" s="15"/>
      <c r="H30" s="15"/>
    </row>
    <row r="31" spans="1:8" x14ac:dyDescent="0.25">
      <c r="A31" s="15"/>
      <c r="B31" s="15"/>
      <c r="C31" s="15"/>
      <c r="D31" s="15"/>
      <c r="E31" s="15"/>
      <c r="F31" s="15"/>
      <c r="G31" s="15"/>
      <c r="H31" s="15"/>
    </row>
    <row r="32" spans="1:8" x14ac:dyDescent="0.25">
      <c r="A32" s="15"/>
      <c r="B32" s="15"/>
      <c r="C32" s="15"/>
      <c r="D32" s="15"/>
      <c r="E32" s="15"/>
      <c r="F32" s="15"/>
      <c r="G32" s="15"/>
      <c r="H32" s="15"/>
    </row>
    <row r="33" spans="1:8" x14ac:dyDescent="0.25">
      <c r="A33" s="15"/>
      <c r="B33" s="15"/>
      <c r="C33" s="15"/>
      <c r="D33" s="15"/>
      <c r="E33" s="15"/>
      <c r="F33" s="15"/>
      <c r="G33" s="15"/>
      <c r="H33" s="15"/>
    </row>
    <row r="34" spans="1:8" x14ac:dyDescent="0.25">
      <c r="A34" s="15"/>
      <c r="B34" s="15"/>
      <c r="C34" s="15"/>
      <c r="D34" s="15"/>
      <c r="E34" s="15"/>
      <c r="F34" s="15"/>
      <c r="G34" s="15"/>
      <c r="H34" s="15"/>
    </row>
  </sheetData>
  <mergeCells count="9">
    <mergeCell ref="F16:G16"/>
    <mergeCell ref="F18:G21"/>
    <mergeCell ref="B24:C24"/>
    <mergeCell ref="B2:D2"/>
    <mergeCell ref="E2:G2"/>
    <mergeCell ref="B3:D3"/>
    <mergeCell ref="E3:G3"/>
    <mergeCell ref="B7:D7"/>
    <mergeCell ref="F7:G7"/>
  </mergeCells>
  <pageMargins left="0.35" right="0.35" top="0.45" bottom="0.45" header="0.511811023622047" footer="0.511811023622047"/>
  <pageSetup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ROUND(D24-Kassenbuch!$K$67,2)=0</xm:f>
            <x14:dxf>
              <fill>
                <patternFill>
                  <bgColor rgb="FF2F6E55"/>
                </patternFill>
              </fill>
            </x14:dxf>
          </x14:cfRule>
          <x14:cfRule type="expression" priority="3" id="{00000000-000E-0000-0300-000003000000}">
            <xm:f>ROUND(D24-Kassenbuch!$K$67,2)&lt;&gt;0</xm:f>
            <x14:dxf>
              <fill>
                <patternFill>
                  <bgColor rgb="FFB5652D"/>
                </patternFill>
              </fill>
            </x14:dxf>
          </x14:cfRule>
          <xm:sqref>F16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5566B"/>
    <pageSetUpPr fitToPage="1"/>
  </sheetPr>
  <dimension ref="A1:G30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4" customWidth="1"/>
    <col min="3" max="3" width="26" customWidth="1"/>
    <col min="4" max="4" width="3" customWidth="1"/>
    <col min="5" max="5" width="9" customWidth="1"/>
    <col min="6" max="6" width="20" customWidth="1"/>
    <col min="7" max="7" width="3" customWidth="1"/>
  </cols>
  <sheetData>
    <row r="1" spans="1:7" ht="9.75" customHeight="1" x14ac:dyDescent="0.25">
      <c r="A1" s="15"/>
      <c r="B1" s="15"/>
      <c r="C1" s="15"/>
      <c r="D1" s="15"/>
      <c r="E1" s="15"/>
      <c r="F1" s="15"/>
      <c r="G1" s="15"/>
    </row>
    <row r="2" spans="1:7" ht="15" customHeight="1" x14ac:dyDescent="0.25">
      <c r="A2" s="15"/>
      <c r="B2" s="14" t="s">
        <v>107</v>
      </c>
      <c r="C2" s="14"/>
      <c r="D2" s="14"/>
      <c r="E2" s="14"/>
      <c r="F2" s="14"/>
      <c r="G2" s="15"/>
    </row>
    <row r="3" spans="1:7" ht="30" customHeight="1" x14ac:dyDescent="0.25">
      <c r="A3" s="15"/>
      <c r="B3" s="13" t="s">
        <v>18</v>
      </c>
      <c r="C3" s="13"/>
      <c r="D3" s="13"/>
      <c r="E3" s="13"/>
      <c r="F3" s="13"/>
      <c r="G3" s="15"/>
    </row>
    <row r="4" spans="1:7" ht="7.5" customHeight="1" x14ac:dyDescent="0.25">
      <c r="A4" s="15"/>
      <c r="B4" s="15"/>
      <c r="C4" s="15"/>
      <c r="D4" s="15"/>
      <c r="E4" s="15"/>
      <c r="F4" s="15"/>
      <c r="G4" s="15"/>
    </row>
    <row r="5" spans="1:7" ht="21.75" customHeight="1" x14ac:dyDescent="0.25">
      <c r="A5" s="15"/>
      <c r="B5" s="61" t="s">
        <v>108</v>
      </c>
      <c r="C5" s="62" t="s">
        <v>109</v>
      </c>
      <c r="D5" s="16"/>
      <c r="E5" s="16"/>
      <c r="F5" s="16"/>
      <c r="G5" s="15"/>
    </row>
    <row r="6" spans="1:7" ht="21.75" customHeight="1" x14ac:dyDescent="0.25">
      <c r="A6" s="15"/>
      <c r="B6" s="63" t="s">
        <v>110</v>
      </c>
      <c r="C6" s="64">
        <f ca="1">TODAY()</f>
        <v>46306</v>
      </c>
      <c r="D6" s="15"/>
      <c r="E6" s="15"/>
      <c r="F6" s="15"/>
      <c r="G6" s="15"/>
    </row>
    <row r="7" spans="1:7" ht="21.75" customHeight="1" x14ac:dyDescent="0.25">
      <c r="A7" s="15"/>
      <c r="B7" s="63" t="s">
        <v>111</v>
      </c>
      <c r="C7" s="65">
        <v>300</v>
      </c>
      <c r="D7" s="15"/>
      <c r="E7" s="15"/>
      <c r="F7" s="15"/>
      <c r="G7" s="15"/>
    </row>
    <row r="8" spans="1:7" ht="21.75" customHeight="1" x14ac:dyDescent="0.25">
      <c r="A8" s="15"/>
      <c r="B8" s="63" t="s">
        <v>112</v>
      </c>
      <c r="C8" s="62" t="s">
        <v>113</v>
      </c>
      <c r="D8" s="15"/>
      <c r="E8" s="15"/>
      <c r="F8" s="15"/>
      <c r="G8" s="15"/>
    </row>
    <row r="9" spans="1:7" x14ac:dyDescent="0.25">
      <c r="A9" s="15"/>
      <c r="B9" s="15"/>
      <c r="C9" s="15"/>
      <c r="D9" s="15"/>
      <c r="E9" s="15"/>
      <c r="F9" s="15"/>
      <c r="G9" s="15"/>
    </row>
    <row r="10" spans="1:7" x14ac:dyDescent="0.25">
      <c r="A10" s="15"/>
      <c r="B10" s="87" t="s">
        <v>114</v>
      </c>
      <c r="C10" s="87"/>
      <c r="D10" s="15"/>
      <c r="E10" s="88" t="s">
        <v>115</v>
      </c>
      <c r="F10" s="88"/>
      <c r="G10" s="15"/>
    </row>
    <row r="11" spans="1:7" x14ac:dyDescent="0.25">
      <c r="A11" s="15"/>
      <c r="B11" s="43" t="s">
        <v>37</v>
      </c>
      <c r="C11" s="66" t="s">
        <v>116</v>
      </c>
      <c r="D11" s="15"/>
      <c r="E11" s="67">
        <v>0.19</v>
      </c>
      <c r="F11" s="68" t="s">
        <v>117</v>
      </c>
      <c r="G11" s="15"/>
    </row>
    <row r="12" spans="1:7" x14ac:dyDescent="0.25">
      <c r="A12" s="15"/>
      <c r="B12" s="43" t="s">
        <v>39</v>
      </c>
      <c r="C12" s="66" t="s">
        <v>116</v>
      </c>
      <c r="D12" s="15"/>
      <c r="E12" s="67">
        <v>7.0000000000000007E-2</v>
      </c>
      <c r="F12" s="68" t="s">
        <v>118</v>
      </c>
      <c r="G12" s="15"/>
    </row>
    <row r="13" spans="1:7" x14ac:dyDescent="0.25">
      <c r="A13" s="15"/>
      <c r="B13" s="43" t="s">
        <v>53</v>
      </c>
      <c r="C13" s="66" t="s">
        <v>116</v>
      </c>
      <c r="D13" s="15"/>
      <c r="E13" s="67">
        <v>0</v>
      </c>
      <c r="F13" s="68" t="s">
        <v>119</v>
      </c>
      <c r="G13" s="15"/>
    </row>
    <row r="14" spans="1:7" x14ac:dyDescent="0.25">
      <c r="A14" s="15"/>
      <c r="B14" s="43" t="s">
        <v>45</v>
      </c>
      <c r="C14" s="66" t="s">
        <v>116</v>
      </c>
      <c r="D14" s="15"/>
      <c r="E14" s="15"/>
      <c r="F14" s="15"/>
      <c r="G14" s="15"/>
    </row>
    <row r="15" spans="1:7" x14ac:dyDescent="0.25">
      <c r="A15" s="15"/>
      <c r="B15" s="43" t="s">
        <v>75</v>
      </c>
      <c r="C15" s="66" t="s">
        <v>116</v>
      </c>
      <c r="D15" s="15"/>
      <c r="E15" s="15"/>
      <c r="F15" s="15"/>
      <c r="G15" s="15"/>
    </row>
    <row r="16" spans="1:7" x14ac:dyDescent="0.25">
      <c r="A16" s="15"/>
      <c r="B16" s="43" t="s">
        <v>41</v>
      </c>
      <c r="C16" s="69" t="s">
        <v>120</v>
      </c>
      <c r="D16" s="15"/>
      <c r="E16" s="15"/>
      <c r="F16" s="15"/>
      <c r="G16" s="15"/>
    </row>
    <row r="17" spans="1:7" x14ac:dyDescent="0.25">
      <c r="A17" s="15"/>
      <c r="B17" s="43" t="s">
        <v>43</v>
      </c>
      <c r="C17" s="69" t="s">
        <v>120</v>
      </c>
      <c r="D17" s="15"/>
      <c r="E17" s="15"/>
      <c r="F17" s="15"/>
      <c r="G17" s="15"/>
    </row>
    <row r="18" spans="1:7" x14ac:dyDescent="0.25">
      <c r="A18" s="15"/>
      <c r="B18" s="43" t="s">
        <v>51</v>
      </c>
      <c r="C18" s="69" t="s">
        <v>120</v>
      </c>
      <c r="D18" s="15"/>
      <c r="E18" s="15"/>
      <c r="F18" s="15"/>
      <c r="G18" s="15"/>
    </row>
    <row r="19" spans="1:7" x14ac:dyDescent="0.25">
      <c r="A19" s="15"/>
      <c r="B19" s="43" t="s">
        <v>59</v>
      </c>
      <c r="C19" s="69" t="s">
        <v>120</v>
      </c>
      <c r="D19" s="15"/>
      <c r="E19" s="15"/>
      <c r="F19" s="15"/>
      <c r="G19" s="15"/>
    </row>
    <row r="20" spans="1:7" x14ac:dyDescent="0.25">
      <c r="A20" s="15"/>
      <c r="B20" s="43" t="s">
        <v>49</v>
      </c>
      <c r="C20" s="69" t="s">
        <v>120</v>
      </c>
      <c r="D20" s="15"/>
      <c r="E20" s="15"/>
      <c r="F20" s="15"/>
      <c r="G20" s="15"/>
    </row>
    <row r="21" spans="1:7" x14ac:dyDescent="0.25">
      <c r="A21" s="15"/>
      <c r="B21" s="43" t="s">
        <v>55</v>
      </c>
      <c r="C21" s="69" t="s">
        <v>120</v>
      </c>
      <c r="D21" s="15"/>
      <c r="E21" s="15"/>
      <c r="F21" s="15"/>
      <c r="G21" s="15"/>
    </row>
    <row r="22" spans="1:7" x14ac:dyDescent="0.25">
      <c r="A22" s="15"/>
      <c r="B22" s="43" t="s">
        <v>57</v>
      </c>
      <c r="C22" s="69" t="s">
        <v>120</v>
      </c>
      <c r="D22" s="15"/>
      <c r="E22" s="15"/>
      <c r="F22" s="15"/>
      <c r="G22" s="15"/>
    </row>
    <row r="23" spans="1:7" x14ac:dyDescent="0.25">
      <c r="A23" s="15"/>
      <c r="B23" s="43" t="s">
        <v>47</v>
      </c>
      <c r="C23" s="70" t="s">
        <v>121</v>
      </c>
      <c r="D23" s="15"/>
      <c r="E23" s="15"/>
      <c r="F23" s="15"/>
      <c r="G23" s="15"/>
    </row>
    <row r="24" spans="1:7" x14ac:dyDescent="0.25">
      <c r="A24" s="15"/>
      <c r="B24" s="43" t="s">
        <v>61</v>
      </c>
      <c r="C24" s="70" t="s">
        <v>121</v>
      </c>
      <c r="D24" s="15"/>
      <c r="E24" s="15"/>
      <c r="F24" s="15"/>
      <c r="G24" s="15"/>
    </row>
    <row r="25" spans="1:7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</sheetData>
  <mergeCells count="4">
    <mergeCell ref="B2:F2"/>
    <mergeCell ref="B3:F3"/>
    <mergeCell ref="B10:C10"/>
    <mergeCell ref="E10:F10"/>
  </mergeCells>
  <pageMargins left="0.35" right="0.35" top="0.45" bottom="0.45" header="0.511811023622047" footer="0.511811023622047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8803F"/>
    <pageSetUpPr fitToPage="1"/>
  </sheetPr>
  <dimension ref="A1:D62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5" customWidth="1"/>
    <col min="3" max="3" width="62" customWidth="1"/>
    <col min="4" max="4" width="3" customWidth="1"/>
  </cols>
  <sheetData>
    <row r="1" spans="1:4" ht="9.75" customHeight="1" x14ac:dyDescent="0.25">
      <c r="A1" s="15"/>
      <c r="B1" s="15"/>
      <c r="C1" s="15"/>
      <c r="D1" s="15"/>
    </row>
    <row r="2" spans="1:4" ht="15" customHeight="1" x14ac:dyDescent="0.25">
      <c r="A2" s="15"/>
      <c r="B2" s="14" t="s">
        <v>122</v>
      </c>
      <c r="C2" s="14"/>
      <c r="D2" s="15"/>
    </row>
    <row r="3" spans="1:4" ht="30" customHeight="1" x14ac:dyDescent="0.25">
      <c r="A3" s="15"/>
      <c r="B3" s="13" t="s">
        <v>21</v>
      </c>
      <c r="C3" s="13"/>
      <c r="D3" s="15"/>
    </row>
    <row r="4" spans="1:4" ht="7.5" customHeight="1" x14ac:dyDescent="0.25">
      <c r="A4" s="15"/>
      <c r="B4" s="15"/>
      <c r="C4" s="15"/>
      <c r="D4" s="15"/>
    </row>
    <row r="5" spans="1:4" ht="3" customHeight="1" x14ac:dyDescent="0.25">
      <c r="A5" s="15"/>
      <c r="B5" s="16"/>
      <c r="C5" s="16"/>
      <c r="D5" s="15"/>
    </row>
    <row r="6" spans="1:4" x14ac:dyDescent="0.25">
      <c r="A6" s="15"/>
      <c r="B6" s="15"/>
      <c r="C6" s="15"/>
      <c r="D6" s="15"/>
    </row>
    <row r="7" spans="1:4" ht="21.75" customHeight="1" x14ac:dyDescent="0.25">
      <c r="A7" s="15"/>
      <c r="B7" s="92" t="s">
        <v>123</v>
      </c>
      <c r="C7" s="92"/>
      <c r="D7" s="15"/>
    </row>
    <row r="8" spans="1:4" ht="31.5" customHeight="1" x14ac:dyDescent="0.25">
      <c r="A8" s="15"/>
      <c r="B8" s="71" t="s">
        <v>124</v>
      </c>
      <c r="C8" s="72" t="s">
        <v>125</v>
      </c>
      <c r="D8" s="15"/>
    </row>
    <row r="9" spans="1:4" ht="45.75" customHeight="1" x14ac:dyDescent="0.25">
      <c r="A9" s="15"/>
      <c r="B9" s="71" t="s">
        <v>126</v>
      </c>
      <c r="C9" s="72" t="s">
        <v>127</v>
      </c>
      <c r="D9" s="15"/>
    </row>
    <row r="10" spans="1:4" ht="31.5" customHeight="1" x14ac:dyDescent="0.25">
      <c r="A10" s="15"/>
      <c r="B10" s="71" t="s">
        <v>128</v>
      </c>
      <c r="C10" s="72" t="s">
        <v>129</v>
      </c>
      <c r="D10" s="15"/>
    </row>
    <row r="11" spans="1:4" ht="31.5" customHeight="1" x14ac:dyDescent="0.25">
      <c r="A11" s="15"/>
      <c r="B11" s="71" t="s">
        <v>130</v>
      </c>
      <c r="C11" s="72" t="s">
        <v>131</v>
      </c>
      <c r="D11" s="15"/>
    </row>
    <row r="12" spans="1:4" x14ac:dyDescent="0.25">
      <c r="A12" s="15"/>
      <c r="B12" s="15"/>
      <c r="C12" s="15"/>
      <c r="D12" s="15"/>
    </row>
    <row r="13" spans="1:4" ht="21.75" customHeight="1" x14ac:dyDescent="0.25">
      <c r="A13" s="15"/>
      <c r="B13" s="92" t="s">
        <v>132</v>
      </c>
      <c r="C13" s="92"/>
      <c r="D13" s="15"/>
    </row>
    <row r="14" spans="1:4" ht="31.5" customHeight="1" x14ac:dyDescent="0.25">
      <c r="A14" s="15"/>
      <c r="B14" s="71" t="s">
        <v>133</v>
      </c>
      <c r="C14" s="72" t="s">
        <v>134</v>
      </c>
      <c r="D14" s="15"/>
    </row>
    <row r="15" spans="1:4" ht="31.5" customHeight="1" x14ac:dyDescent="0.25">
      <c r="A15" s="15"/>
      <c r="B15" s="71" t="s">
        <v>135</v>
      </c>
      <c r="C15" s="72" t="s">
        <v>136</v>
      </c>
      <c r="D15" s="15"/>
    </row>
    <row r="16" spans="1:4" ht="31.5" customHeight="1" x14ac:dyDescent="0.25">
      <c r="A16" s="15"/>
      <c r="B16" s="71" t="s">
        <v>33</v>
      </c>
      <c r="C16" s="72" t="s">
        <v>137</v>
      </c>
      <c r="D16" s="15"/>
    </row>
    <row r="17" spans="1:4" ht="31.5" customHeight="1" x14ac:dyDescent="0.25">
      <c r="A17" s="15"/>
      <c r="B17" s="71" t="s">
        <v>121</v>
      </c>
      <c r="C17" s="72" t="s">
        <v>138</v>
      </c>
      <c r="D17" s="15"/>
    </row>
    <row r="18" spans="1:4" x14ac:dyDescent="0.25">
      <c r="A18" s="15"/>
      <c r="B18" s="15"/>
      <c r="C18" s="15"/>
      <c r="D18" s="15"/>
    </row>
    <row r="19" spans="1:4" ht="21.75" customHeight="1" x14ac:dyDescent="0.25">
      <c r="A19" s="15"/>
      <c r="B19" s="92" t="s">
        <v>139</v>
      </c>
      <c r="C19" s="92"/>
      <c r="D19" s="15"/>
    </row>
    <row r="20" spans="1:4" ht="45.75" customHeight="1" x14ac:dyDescent="0.25">
      <c r="A20" s="15"/>
      <c r="B20" s="71" t="s">
        <v>140</v>
      </c>
      <c r="C20" s="72" t="s">
        <v>141</v>
      </c>
      <c r="D20" s="15"/>
    </row>
    <row r="21" spans="1:4" x14ac:dyDescent="0.25">
      <c r="A21" s="15"/>
      <c r="B21" s="93" t="s">
        <v>142</v>
      </c>
      <c r="C21" s="93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5"/>
      <c r="B41" s="15"/>
      <c r="C41" s="15"/>
      <c r="D41" s="15"/>
    </row>
    <row r="42" spans="1:4" x14ac:dyDescent="0.25">
      <c r="A42" s="15"/>
      <c r="B42" s="15"/>
      <c r="C42" s="15"/>
      <c r="D42" s="15"/>
    </row>
    <row r="43" spans="1:4" x14ac:dyDescent="0.25">
      <c r="A43" s="15"/>
      <c r="B43" s="15"/>
      <c r="C43" s="15"/>
      <c r="D43" s="15"/>
    </row>
    <row r="44" spans="1:4" x14ac:dyDescent="0.25">
      <c r="A44" s="15"/>
      <c r="B44" s="15"/>
      <c r="C44" s="15"/>
      <c r="D44" s="15"/>
    </row>
    <row r="45" spans="1:4" x14ac:dyDescent="0.25">
      <c r="A45" s="15"/>
      <c r="B45" s="15"/>
      <c r="C45" s="15"/>
      <c r="D45" s="15"/>
    </row>
    <row r="46" spans="1:4" x14ac:dyDescent="0.25">
      <c r="A46" s="15"/>
      <c r="B46" s="15"/>
      <c r="C46" s="15"/>
      <c r="D46" s="15"/>
    </row>
    <row r="47" spans="1:4" x14ac:dyDescent="0.25">
      <c r="A47" s="15"/>
      <c r="B47" s="15"/>
      <c r="C47" s="15"/>
      <c r="D47" s="15"/>
    </row>
    <row r="48" spans="1:4" x14ac:dyDescent="0.25">
      <c r="A48" s="15"/>
      <c r="B48" s="15"/>
      <c r="C48" s="15"/>
      <c r="D48" s="15"/>
    </row>
    <row r="49" spans="1:4" x14ac:dyDescent="0.25">
      <c r="A49" s="15"/>
      <c r="B49" s="15"/>
      <c r="C49" s="15"/>
      <c r="D49" s="15"/>
    </row>
    <row r="50" spans="1:4" x14ac:dyDescent="0.25">
      <c r="A50" s="15"/>
      <c r="B50" s="15"/>
      <c r="C50" s="15"/>
      <c r="D50" s="15"/>
    </row>
    <row r="51" spans="1:4" x14ac:dyDescent="0.25">
      <c r="A51" s="15"/>
      <c r="B51" s="15"/>
      <c r="C51" s="15"/>
      <c r="D51" s="15"/>
    </row>
    <row r="52" spans="1:4" x14ac:dyDescent="0.25">
      <c r="A52" s="15"/>
      <c r="B52" s="15"/>
      <c r="C52" s="15"/>
      <c r="D52" s="15"/>
    </row>
    <row r="53" spans="1:4" x14ac:dyDescent="0.25">
      <c r="A53" s="15"/>
      <c r="B53" s="15"/>
      <c r="C53" s="15"/>
      <c r="D53" s="15"/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  <row r="56" spans="1:4" x14ac:dyDescent="0.25">
      <c r="A56" s="15"/>
      <c r="B56" s="15"/>
      <c r="C56" s="15"/>
      <c r="D56" s="15"/>
    </row>
    <row r="57" spans="1:4" x14ac:dyDescent="0.25">
      <c r="A57" s="15"/>
      <c r="B57" s="15"/>
      <c r="C57" s="15"/>
      <c r="D57" s="15"/>
    </row>
    <row r="58" spans="1:4" x14ac:dyDescent="0.25">
      <c r="A58" s="15"/>
      <c r="B58" s="15"/>
      <c r="C58" s="15"/>
      <c r="D58" s="15"/>
    </row>
    <row r="59" spans="1:4" x14ac:dyDescent="0.25">
      <c r="A59" s="15"/>
      <c r="B59" s="15"/>
      <c r="C59" s="15"/>
      <c r="D59" s="15"/>
    </row>
    <row r="60" spans="1:4" x14ac:dyDescent="0.25">
      <c r="A60" s="15"/>
      <c r="B60" s="15"/>
      <c r="C60" s="15"/>
      <c r="D60" s="15"/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</sheetData>
  <mergeCells count="6">
    <mergeCell ref="B21:C21"/>
    <mergeCell ref="B2:C2"/>
    <mergeCell ref="B3:C3"/>
    <mergeCell ref="B7:C7"/>
    <mergeCell ref="B13:C13"/>
    <mergeCell ref="B19:C19"/>
  </mergeCells>
  <pageMargins left="0.35" right="0.35" top="0.45" bottom="0.4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Deckblatt</vt:lpstr>
      <vt:lpstr>Kassenbuch</vt:lpstr>
      <vt:lpstr>Auswertung</vt:lpstr>
      <vt:lpstr>Kassensturz</vt:lpstr>
      <vt:lpstr>Stammdaten</vt:lpstr>
      <vt:lpstr>Anleitung</vt:lpstr>
      <vt:lpstr>Anleitung!Druckbereich</vt:lpstr>
      <vt:lpstr>Auswertung!Druckbereich</vt:lpstr>
      <vt:lpstr>Deckblatt!Druckbereich</vt:lpstr>
      <vt:lpstr>Kassenbuch!Druckbereich</vt:lpstr>
      <vt:lpstr>Kassensturz!Druckbereich</vt:lpstr>
      <vt:lpstr>Stammdaten!Druckbereich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2026-10-10T10:36:23Z</dcterms:created>
  <dcterms:modified xsi:type="dcterms:W3CDTF">2026-10-11T11:21:41Z</dcterms:modified>
  <dc:language>en-US</dc:language>
</cp:coreProperties>
</file>