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ssenbuch" sheetId="1" state="visible" r:id="rId3"/>
    <sheet name="Monatsübersicht" sheetId="2" state="visible" r:id="rId4"/>
    <sheet name="Kassensturz" sheetId="3" state="visible" r:id="rId5"/>
    <sheet name="Einstellungen" sheetId="4" state="visible" r:id="rId6"/>
    <sheet name="Anleitung" sheetId="5" state="visible" r:id="rId7"/>
  </sheets>
  <definedNames>
    <definedName function="false" hidden="false" localSheetId="4" name="_xlnm.Print_Area" vbProcedure="false">Anleitung!$A$1:$D$21</definedName>
    <definedName function="false" hidden="false" localSheetId="3" name="_xlnm.Print_Area" vbProcedure="false">Einstellungen!$A$1:$F$22</definedName>
    <definedName function="false" hidden="false" localSheetId="0" name="_xlnm.Print_Area" vbProcedure="false">Kassenbuch!$A$1:$J$53</definedName>
    <definedName function="false" hidden="false" localSheetId="2" name="_xlnm.Print_Area" vbProcedure="false">Kassensturz!$A$1:$H$20</definedName>
    <definedName function="false" hidden="false" localSheetId="1" name="_xlnm.Print_Area" vbProcedure="false">Monatsübersicht!$A$1:$P$30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<sst xmlns="http://schemas.openxmlformats.org/spreadsheetml/2006/main" count="253" uniqueCount="176">
  <si>
    <t xml:space="preserve">KB</t>
  </si>
  <si>
    <t xml:space="preserve">Kassenbuch</t>
  </si>
  <si>
    <t xml:space="preserve">Geschäftsjahr 2026</t>
  </si>
  <si>
    <t xml:space="preserve">BARGELD-JOURNAL · DER KASSENBESTAND BERECHNET SICH AUTOMATISCH</t>
  </si>
  <si>
    <t xml:space="preserve">Datum</t>
  </si>
  <si>
    <t xml:space="preserve">Beleg-Nr.</t>
  </si>
  <si>
    <t xml:space="preserve">Beschreibung</t>
  </si>
  <si>
    <t xml:space="preserve">Kategorie</t>
  </si>
  <si>
    <t xml:space="preserve">MwSt-Satz</t>
  </si>
  <si>
    <t xml:space="preserve">Einnahme</t>
  </si>
  <si>
    <t xml:space="preserve">Ausgabe</t>
  </si>
  <si>
    <t xml:space="preserve">MwSt-Betrag</t>
  </si>
  <si>
    <t xml:space="preserve">Netto</t>
  </si>
  <si>
    <t xml:space="preserve">Kassenbestand</t>
  </si>
  <si>
    <t xml:space="preserve">B-2601</t>
  </si>
  <si>
    <t xml:space="preserve">Tageslosung 02.01.</t>
  </si>
  <si>
    <t xml:space="preserve">Tageslosung</t>
  </si>
  <si>
    <t xml:space="preserve">B-2602</t>
  </si>
  <si>
    <t xml:space="preserve">Gemüse &amp; Obst (Markt)</t>
  </si>
  <si>
    <t xml:space="preserve">Wareneinkauf</t>
  </si>
  <si>
    <t xml:space="preserve">B-2603</t>
  </si>
  <si>
    <t xml:space="preserve">Tageslosung 03.01.</t>
  </si>
  <si>
    <t xml:space="preserve">B-2604</t>
  </si>
  <si>
    <t xml:space="preserve">Getränkelieferung</t>
  </si>
  <si>
    <t xml:space="preserve">Getränkeeinkauf</t>
  </si>
  <si>
    <t xml:space="preserve">B-2605</t>
  </si>
  <si>
    <t xml:space="preserve">Tageslosung 04.01.</t>
  </si>
  <si>
    <t xml:space="preserve">B-2606</t>
  </si>
  <si>
    <t xml:space="preserve">Reinigungsmittel</t>
  </si>
  <si>
    <t xml:space="preserve">Reinigung</t>
  </si>
  <si>
    <t xml:space="preserve">B-2607</t>
  </si>
  <si>
    <t xml:space="preserve">Trinkgeld (Kasse)</t>
  </si>
  <si>
    <t xml:space="preserve">Trinkgeld</t>
  </si>
  <si>
    <t xml:space="preserve">B-2631</t>
  </si>
  <si>
    <t xml:space="preserve">Bankeinzahlung Tageslosungen</t>
  </si>
  <si>
    <t xml:space="preserve">Bankeinzahlung</t>
  </si>
  <si>
    <t xml:space="preserve">B-2608</t>
  </si>
  <si>
    <t xml:space="preserve">Tageslosung 07.01.</t>
  </si>
  <si>
    <t xml:space="preserve">B-2609</t>
  </si>
  <si>
    <t xml:space="preserve">Aushilfe (Stundenlohn, bar)</t>
  </si>
  <si>
    <t xml:space="preserve">Löhne/Aushilfe</t>
  </si>
  <si>
    <t xml:space="preserve">B-2610</t>
  </si>
  <si>
    <t xml:space="preserve">Tageslosung 09.01.</t>
  </si>
  <si>
    <t xml:space="preserve">B-2611</t>
  </si>
  <si>
    <t xml:space="preserve">Fleisch &amp; Wurstwaren</t>
  </si>
  <si>
    <t xml:space="preserve">B-2612</t>
  </si>
  <si>
    <t xml:space="preserve">Tageslosung 10.01.</t>
  </si>
  <si>
    <t xml:space="preserve">B-2613</t>
  </si>
  <si>
    <t xml:space="preserve">Bareinlage Inhaber</t>
  </si>
  <si>
    <t xml:space="preserve">Bareinlage</t>
  </si>
  <si>
    <t xml:space="preserve">B-2614</t>
  </si>
  <si>
    <t xml:space="preserve">Reparatur Kaffeemaschine</t>
  </si>
  <si>
    <t xml:space="preserve">Reparatur/Instand.</t>
  </si>
  <si>
    <t xml:space="preserve">B-2632</t>
  </si>
  <si>
    <t xml:space="preserve">B-2615</t>
  </si>
  <si>
    <t xml:space="preserve">Tageslosung 14.01.</t>
  </si>
  <si>
    <t xml:space="preserve">B-2616</t>
  </si>
  <si>
    <t xml:space="preserve">Büromaterial</t>
  </si>
  <si>
    <t xml:space="preserve">Büro/Sonstiges</t>
  </si>
  <si>
    <t xml:space="preserve">B-2617</t>
  </si>
  <si>
    <t xml:space="preserve">Miete Januar (bar)</t>
  </si>
  <si>
    <t xml:space="preserve">Miete/Nebenkosten</t>
  </si>
  <si>
    <t xml:space="preserve">B-2618</t>
  </si>
  <si>
    <t xml:space="preserve">Tageslosung 16.01.</t>
  </si>
  <si>
    <t xml:space="preserve">B-2619</t>
  </si>
  <si>
    <t xml:space="preserve">B-2620</t>
  </si>
  <si>
    <t xml:space="preserve">Tageslosung 18.01.</t>
  </si>
  <si>
    <t xml:space="preserve">B-2621</t>
  </si>
  <si>
    <t xml:space="preserve">Privatentnahme</t>
  </si>
  <si>
    <t xml:space="preserve">B-2633</t>
  </si>
  <si>
    <t xml:space="preserve">B-2622</t>
  </si>
  <si>
    <t xml:space="preserve">Tageslosung 21.01.</t>
  </si>
  <si>
    <t xml:space="preserve">B-2623</t>
  </si>
  <si>
    <t xml:space="preserve">Backwaren (Lieferant)</t>
  </si>
  <si>
    <t xml:space="preserve">B-2624</t>
  </si>
  <si>
    <t xml:space="preserve">Tageslosung 23.01.</t>
  </si>
  <si>
    <t xml:space="preserve">B-2625</t>
  </si>
  <si>
    <t xml:space="preserve">Reinigung (Dienstleister)</t>
  </si>
  <si>
    <t xml:space="preserve">B-2626</t>
  </si>
  <si>
    <t xml:space="preserve">Tageslosung 25.01.</t>
  </si>
  <si>
    <t xml:space="preserve">B-2627</t>
  </si>
  <si>
    <t xml:space="preserve">B-2634</t>
  </si>
  <si>
    <t xml:space="preserve">B-2628</t>
  </si>
  <si>
    <t xml:space="preserve">Tageslosung 28.01.</t>
  </si>
  <si>
    <t xml:space="preserve">B-2629</t>
  </si>
  <si>
    <t xml:space="preserve">Aushilfe (bar)</t>
  </si>
  <si>
    <t xml:space="preserve">B-2630</t>
  </si>
  <si>
    <t xml:space="preserve">Tageslosung 30.01.</t>
  </si>
  <si>
    <t xml:space="preserve">Summen / Endbestand</t>
  </si>
  <si>
    <t xml:space="preserve">Hinweis: Diese Excel-Vorlage dient der Vorbereitung. Ein revisionssicheres (GoBD-konformes) Kassenbuch erfordert eine unveränderbare Aufzeichnung.</t>
  </si>
  <si>
    <t xml:space="preserve">Monatsübersicht</t>
  </si>
  <si>
    <t xml:space="preserve">AUSWERTUNG · AKTUALISIERT SICH AUTOMATISCH AUS DEM KASSENBUCH</t>
  </si>
  <si>
    <t xml:space="preserve">ANFANGSBESTAND</t>
  </si>
  <si>
    <t xml:space="preserve">EINNAHMEN</t>
  </si>
  <si>
    <t xml:space="preserve">AUSGABEN</t>
  </si>
  <si>
    <t xml:space="preserve">ENDBESTAND</t>
  </si>
  <si>
    <t xml:space="preserve">VEREINNAHMTE MWST</t>
  </si>
  <si>
    <t xml:space="preserve">VERÄNDERUNG KASSE</t>
  </si>
  <si>
    <t xml:space="preserve">Betriebsausgaben je Kategorie</t>
  </si>
  <si>
    <t xml:space="preserve">Einnahmen je Kategorie</t>
  </si>
  <si>
    <t xml:space="preserve">MwSt nach Satz</t>
  </si>
  <si>
    <t xml:space="preserve">Betrag</t>
  </si>
  <si>
    <t xml:space="preserve">Satz</t>
  </si>
  <si>
    <t xml:space="preserve">19 %</t>
  </si>
  <si>
    <t xml:space="preserve">7 %</t>
  </si>
  <si>
    <t xml:space="preserve">0 %</t>
  </si>
  <si>
    <t xml:space="preserve">Einnahmen</t>
  </si>
  <si>
    <t xml:space="preserve">Ausgaben</t>
  </si>
  <si>
    <t xml:space="preserve">Kassensturz</t>
  </si>
  <si>
    <t xml:space="preserve">BARGELD ZÄHLEN UND MIT DEM SOLL-BESTAND VERGLEICHEN</t>
  </si>
  <si>
    <t xml:space="preserve">Zählprotokoll – tatsächlicher Kassenbestand (Ist)</t>
  </si>
  <si>
    <t xml:space="preserve">Abgleich (Soll / Ist)</t>
  </si>
  <si>
    <t xml:space="preserve">Stückelung</t>
  </si>
  <si>
    <t xml:space="preserve">Anzahl</t>
  </si>
  <si>
    <t xml:space="preserve">500 € Schein</t>
  </si>
  <si>
    <t xml:space="preserve">Soll-Bestand lt. Kassenbuch</t>
  </si>
  <si>
    <t xml:space="preserve">200 € Schein</t>
  </si>
  <si>
    <t xml:space="preserve">Gezählter Bestand (Ist)</t>
  </si>
  <si>
    <t xml:space="preserve">100 € Schein</t>
  </si>
  <si>
    <t xml:space="preserve">Differenz (Ist − Soll)</t>
  </si>
  <si>
    <t xml:space="preserve">50 € Schein</t>
  </si>
  <si>
    <t xml:space="preserve">20 € Schein</t>
  </si>
  <si>
    <t xml:space="preserve">Datum des Kassensturzes</t>
  </si>
  <si>
    <t xml:space="preserve">10 € Schein</t>
  </si>
  <si>
    <t xml:space="preserve">Gezählt von</t>
  </si>
  <si>
    <t xml:space="preserve">5 € Schein</t>
  </si>
  <si>
    <t xml:space="preserve">2 € Münze</t>
  </si>
  <si>
    <t xml:space="preserve">1 € Münze</t>
  </si>
  <si>
    <t xml:space="preserve">0,50 € Münze</t>
  </si>
  <si>
    <t xml:space="preserve">Differenzen sind zu dokumentieren und zu erklären. Blaue Felder sind Eingaben (Anzahl je Stückelung).</t>
  </si>
  <si>
    <t xml:space="preserve">0,20 € Münze</t>
  </si>
  <si>
    <t xml:space="preserve">0,10 € Münze</t>
  </si>
  <si>
    <t xml:space="preserve">0,05 € Münze</t>
  </si>
  <si>
    <t xml:space="preserve">0,02 € Münze</t>
  </si>
  <si>
    <t xml:space="preserve">0,01 € Münze</t>
  </si>
  <si>
    <t xml:space="preserve">Einstellungen</t>
  </si>
  <si>
    <t xml:space="preserve">STAMMDATEN · ÄNDERUNGEN WIRKEN AUF ALLE BLÄTTER</t>
  </si>
  <si>
    <t xml:space="preserve">Betriebs- &amp; Kassendaten</t>
  </si>
  <si>
    <t xml:space="preserve">Stichtag (heute)</t>
  </si>
  <si>
    <t xml:space="preserve">Betrieb / Kasse</t>
  </si>
  <si>
    <t xml:space="preserve">Gastrobetrieb Muster – Hauptkasse</t>
  </si>
  <si>
    <t xml:space="preserve">Anfangsbestand (€)</t>
  </si>
  <si>
    <t xml:space="preserve">Kassenverantwortliche/r</t>
  </si>
  <si>
    <t xml:space="preserve">M. Berger</t>
  </si>
  <si>
    <t xml:space="preserve">Kategorien</t>
  </si>
  <si>
    <t xml:space="preserve">MwSt-Sätze</t>
  </si>
  <si>
    <t xml:space="preserve">19 % – Regelsatz</t>
  </si>
  <si>
    <t xml:space="preserve">7 % – ermäßigt (Speisen)</t>
  </si>
  <si>
    <t xml:space="preserve">0 % – ohne / steuerfrei</t>
  </si>
  <si>
    <t xml:space="preserve">Geldtransit</t>
  </si>
  <si>
    <t xml:space="preserve">Anleitung</t>
  </si>
  <si>
    <t xml:space="preserve">SO FÜHREN SIE DAS KASSENBUCH</t>
  </si>
  <si>
    <t xml:space="preserve">In vier Schritten</t>
  </si>
  <si>
    <t xml:space="preserve">1 · Einstellungen</t>
  </si>
  <si>
    <t xml:space="preserve">Betrieb, Anfangsbestand und Verantwortliche eintragen. Kategorien und MwSt-Sätze bei Bedarf anpassen.</t>
  </si>
  <si>
    <t xml:space="preserve">2 · Buchen</t>
  </si>
  <si>
    <t xml:space="preserve">Jeden Barvorgang im »Kassenbuch« chronologisch und lückenlos erfassen: Datum, Beleg-Nr., Beschreibung, Kategorie, MwSt-Satz und Betrag unter Einnahme oder Ausgabe.</t>
  </si>
  <si>
    <t xml:space="preserve">3 · Kontrollieren</t>
  </si>
  <si>
    <t xml:space="preserve">MwSt, Netto und der laufende Kassenbestand berechnen sich automatisch. »Monatsübersicht« zeigt Summen und Auswertungen.</t>
  </si>
  <si>
    <t xml:space="preserve">4 · Kassensturz</t>
  </si>
  <si>
    <t xml:space="preserve">Regelmäßig das Bargeld zählen (»Kassensturz«) und mit dem Soll-Bestand abgleichen. Differenzen dokumentieren.</t>
  </si>
  <si>
    <t xml:space="preserve">Die Blätter</t>
  </si>
  <si>
    <t xml:space="preserve">Zentrales Journal aller Barbewegungen. Weiße Felder sind Eingaben; MwSt-Betrag, Netto und Kassenbestand sind Formeln.</t>
  </si>
  <si>
    <t xml:space="preserve">Kennzahlen (Anfangs-/Endbestand, Einnahmen, Ausgaben, MwSt, Ergebnis) sowie Auswertungen nach Kategorie und Diagramme.</t>
  </si>
  <si>
    <t xml:space="preserve">Zählprotokoll nach Stückelung und Abgleich Ist gegen Soll. Blaue Felder sind Eingaben.</t>
  </si>
  <si>
    <t xml:space="preserve">Stammdaten – einziger Ort für Anfangsbestand, Kategorien und MwSt-Sätze.</t>
  </si>
  <si>
    <t xml:space="preserve">Legende &amp; Hinweise</t>
  </si>
  <si>
    <t xml:space="preserve">Eingabefelder</t>
  </si>
  <si>
    <t xml:space="preserve">Blau = selbst ausfüllen · Weiß = Eingabe im Journal · übrige Werte sind Formeln.</t>
  </si>
  <si>
    <t xml:space="preserve">Farben</t>
  </si>
  <si>
    <t xml:space="preserve">Einnahmen grün, Ausgaben rot. Ein negativer Kassenbestand wird rot markiert (Hinweis auf fehlende Buchung).</t>
  </si>
  <si>
    <t xml:space="preserve">MwSt</t>
  </si>
  <si>
    <t xml:space="preserve">Der MwSt-Betrag wird aus dem Bruttobetrag herausgerechnet: Betrag × Satz / (1 + Satz).</t>
  </si>
  <si>
    <t xml:space="preserve">Rechtlicher Hinweis</t>
  </si>
  <si>
    <t xml:space="preserve">Excel dient der Vorbereitung. Ein revisionssicheres (GoBD-konformes) Kassenbuch erfordert eine unveränderbare Aufzeichnung; Belege 10 Jahre aufbewahren.</t>
  </si>
  <si>
    <t xml:space="preserve">Hinweis: Diese Vorlage kommt ohne Makros aus und ist voll editierbar. Beispieldaten einfach überschreiben.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</si>
</sst>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0\ %"/>
    <numFmt numFmtId="167" formatCode="#,##0.00&quot; €&quot;;[RED]\-#,##0.00&quot; €&quot;;\–"/>
    <numFmt numFmtId="168" formatCode="#,##0.00&quot; €&quot;"/>
  </numFmts>
  <fonts count="3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Calibri"/>
      <family val="0"/>
      <charset val="1"/>
    </font>
    <font>
      <b val="true"/>
      <sz val="19"/>
      <color rgb="FFFFFFFF"/>
      <name val="Calibri"/>
      <family val="0"/>
      <charset val="1"/>
    </font>
    <font>
      <sz val="9"/>
      <color rgb="FFC9BEB2"/>
      <name val="Calibri"/>
      <family val="0"/>
      <charset val="1"/>
    </font>
    <font>
      <b val="true"/>
      <sz val="9"/>
      <color rgb="FF7B2D3A"/>
      <name val="Calibri"/>
      <family val="0"/>
      <charset val="1"/>
    </font>
    <font>
      <b val="true"/>
      <sz val="10"/>
      <color rgb="FF26292F"/>
      <name val="Calibri"/>
      <family val="0"/>
      <charset val="1"/>
    </font>
    <font>
      <sz val="10"/>
      <color rgb="FF7A7B82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10"/>
      <color rgb="FF26292F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i val="true"/>
      <sz val="8"/>
      <color rgb="FF7A7B82"/>
      <name val="Calibri"/>
      <family val="0"/>
      <charset val="1"/>
    </font>
    <font>
      <b val="true"/>
      <sz val="8"/>
      <color rgb="FF7A7B82"/>
      <name val="Calibri"/>
      <family val="0"/>
      <charset val="1"/>
    </font>
    <font>
      <b val="true"/>
      <sz val="17"/>
      <color rgb="FF3A3E47"/>
      <name val="Calibri"/>
      <family val="0"/>
      <charset val="1"/>
    </font>
    <font>
      <b val="true"/>
      <sz val="17"/>
      <color rgb="FF2E7D5B"/>
      <name val="Calibri"/>
      <family val="0"/>
      <charset val="1"/>
    </font>
    <font>
      <b val="true"/>
      <sz val="17"/>
      <color rgb="FFB23A2E"/>
      <name val="Calibri"/>
      <family val="0"/>
      <charset val="1"/>
    </font>
    <font>
      <b val="true"/>
      <sz val="17"/>
      <color rgb="FF7B2D3A"/>
      <name val="Calibri"/>
      <family val="0"/>
      <charset val="1"/>
    </font>
    <font>
      <b val="true"/>
      <sz val="17"/>
      <color rgb="FFB08A2E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"/>
      <color rgb="FF7A7B82"/>
      <name val="Calibri"/>
      <family val="0"/>
      <charset val="1"/>
    </font>
    <font>
      <sz val="9"/>
      <color rgb="FF26292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CC"/>
      <name val="Calibri"/>
      <family val="0"/>
      <charset val="1"/>
    </font>
    <font>
      <sz val="8"/>
      <color rgb="FFFFFFFF"/>
      <name val="Calibri"/>
      <family val="0"/>
      <charset val="1"/>
    </font>
    <font>
      <sz val="11"/>
      <color rgb="FF26292F"/>
      <name val="Calibri"/>
      <family val="0"/>
      <charset val="1"/>
    </font>
    <font>
      <b val="true"/>
      <sz val="10"/>
      <color rgb="FF7B2D3A"/>
      <name val="Calibri"/>
      <family val="0"/>
      <charset val="1"/>
    </font>
    <font>
      <b val="true"/>
      <sz val="13"/>
      <color rgb="FF7B2D3A"/>
      <name val="Calibri"/>
      <family val="0"/>
      <charset val="1"/>
    </font>
    <font>
      <b val="true"/>
      <sz val="10.5"/>
      <color rgb="FF26292F"/>
      <name val="Calibri"/>
      <family val="0"/>
      <charset val="1"/>
    </font>
    <font>
      <b val="true"/>
      <sz val="10.5"/>
      <color rgb="FF0000CC"/>
      <name val="Calibri"/>
      <family val="0"/>
      <charset val="1"/>
    </font>
    <font>
      <b val="true"/>
      <sz val="9"/>
      <color rgb="FF2E7D5B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.5"/>
      <color rgb="FF7B2D3A"/>
      <name val="Calibri"/>
      <family val="0"/>
      <charset val="1"/>
    </font>
    <font>
      <sz val="10.5"/>
      <color rgb="FF26292F"/>
      <name val="Calibri"/>
      <family val="0"/>
      <charset val="1"/>
    </font>
    <font>
      <i val="true"/>
      <sz val="9"/>
      <color rgb="FF7A7B82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7B2D3A"/>
        <bgColor rgb="FF9B2F23"/>
      </patternFill>
    </fill>
    <fill>
      <patternFill patternType="solid">
        <fgColor rgb="FF2A2D34"/>
        <bgColor rgb="FF26292F"/>
      </patternFill>
    </fill>
    <fill>
      <patternFill patternType="solid">
        <fgColor rgb="FFFFFFFF"/>
        <bgColor rgb="FFFBFAF8"/>
      </patternFill>
    </fill>
    <fill>
      <patternFill patternType="solid">
        <fgColor rgb="FFF3F1EE"/>
        <bgColor rgb="FFFBFAF8"/>
      </patternFill>
    </fill>
    <fill>
      <patternFill patternType="solid">
        <fgColor rgb="FF3A3E47"/>
        <bgColor rgb="FF2A2D34"/>
      </patternFill>
    </fill>
    <fill>
      <patternFill patternType="solid">
        <fgColor rgb="FFFBFAF8"/>
        <bgColor rgb="FFFFFFFF"/>
      </patternFill>
    </fill>
    <fill>
      <patternFill patternType="solid">
        <fgColor rgb="FF2E7D5B"/>
        <bgColor rgb="FF008080"/>
      </patternFill>
    </fill>
    <fill>
      <patternFill patternType="solid">
        <fgColor rgb="FFB08A2E"/>
        <bgColor rgb="FF878787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B2D3A"/>
      </bottom>
      <diagonal/>
    </border>
    <border diagonalUp="false" diagonalDown="false">
      <left/>
      <right style="thin">
        <color rgb="FFEBE7E1"/>
      </right>
      <top/>
      <bottom style="thin">
        <color rgb="FFEBE7E1"/>
      </bottom>
      <diagonal/>
    </border>
    <border diagonalUp="false" diagonalDown="false">
      <left/>
      <right/>
      <top style="medium">
        <color rgb="FF7B2D3A"/>
      </top>
      <bottom/>
      <diagonal/>
    </border>
    <border diagonalUp="false" diagonalDown="false">
      <left style="thin">
        <color rgb="FFDAD5CE"/>
      </left>
      <right style="thin">
        <color rgb="FFDAD5CE"/>
      </right>
      <top style="medium">
        <color rgb="FF3A3E47"/>
      </top>
      <bottom/>
      <diagonal/>
    </border>
    <border diagonalUp="false" diagonalDown="false">
      <left style="thin">
        <color rgb="FFDAD5CE"/>
      </left>
      <right style="thin">
        <color rgb="FFDAD5CE"/>
      </right>
      <top style="medium">
        <color rgb="FF2E7D5B"/>
      </top>
      <bottom/>
      <diagonal/>
    </border>
    <border diagonalUp="false" diagonalDown="false">
      <left style="thin">
        <color rgb="FFDAD5CE"/>
      </left>
      <right style="thin">
        <color rgb="FFDAD5CE"/>
      </right>
      <top style="medium">
        <color rgb="FFB23A2E"/>
      </top>
      <bottom/>
      <diagonal/>
    </border>
    <border diagonalUp="false" diagonalDown="false">
      <left style="thin">
        <color rgb="FFDAD5CE"/>
      </left>
      <right style="thin">
        <color rgb="FFDAD5CE"/>
      </right>
      <top/>
      <bottom style="thin">
        <color rgb="FFDAD5CE"/>
      </bottom>
      <diagonal/>
    </border>
    <border diagonalUp="false" diagonalDown="false">
      <left style="thin">
        <color rgb="FFDAD5CE"/>
      </left>
      <right style="thin">
        <color rgb="FFDAD5CE"/>
      </right>
      <top style="medium">
        <color rgb="FF7B2D3A"/>
      </top>
      <bottom/>
      <diagonal/>
    </border>
    <border diagonalUp="false" diagonalDown="false">
      <left style="thin">
        <color rgb="FFDAD5CE"/>
      </left>
      <right style="thin">
        <color rgb="FFDAD5CE"/>
      </right>
      <top style="medium">
        <color rgb="FFB08A2E"/>
      </top>
      <bottom/>
      <diagonal/>
    </border>
    <border diagonalUp="false" diagonalDown="false">
      <left/>
      <right/>
      <top/>
      <bottom style="thin">
        <color rgb="FFEBE7E1"/>
      </bottom>
      <diagonal/>
    </border>
    <border diagonalUp="false" diagonalDown="false">
      <left style="thin">
        <color rgb="FFEBE7E1"/>
      </left>
      <right style="thin">
        <color rgb="FFEBE7E1"/>
      </right>
      <top style="thin">
        <color rgb="FFEBE7E1"/>
      </top>
      <bottom style="thin">
        <color rgb="FFEBE7E1"/>
      </bottom>
      <diagonal/>
    </border>
    <border diagonalUp="false" diagonalDown="false">
      <left style="thin">
        <color rgb="FFDAD5CE"/>
      </left>
      <right style="thin">
        <color rgb="FFDAD5CE"/>
      </right>
      <top style="thin">
        <color rgb="FFDAD5CE"/>
      </top>
      <bottom style="thin">
        <color rgb="FFDAD5CE"/>
      </bottom>
      <diagonal/>
    </border>
    <border diagonalUp="false" diagonalDown="false">
      <left style="thin">
        <color rgb="FFDAD5CE"/>
      </left>
      <right style="thin">
        <color rgb="FFEBE7E1"/>
      </right>
      <top/>
      <bottom style="thin">
        <color rgb="FFEBE7E1"/>
      </bottom>
      <diagonal/>
    </border>
    <border diagonalUp="false" diagonalDown="false">
      <left/>
      <right style="thin">
        <color rgb="FFDAD5CE"/>
      </right>
      <top/>
      <bottom style="thin">
        <color rgb="FFEBE7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8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1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2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5" fillId="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6" fillId="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7" fillId="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8" fillId="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9" fillId="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5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8" fillId="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5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1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7" fillId="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5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9" fillId="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7" fillId="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0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30" fillId="5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30" fillId="4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4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31" fillId="4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2" fillId="4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4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3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4" fillId="5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5" fillId="5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6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Calibri"/>
        <charset val="1"/>
        <family val="0"/>
        <b val="1"/>
        <color rgb="FF2E7D5B"/>
        <sz val="10"/>
      </font>
    </dxf>
    <dxf>
      <font>
        <name val="Calibri"/>
        <charset val="1"/>
        <family val="0"/>
        <b val="1"/>
        <color rgb="FFB23A2E"/>
        <sz val="10"/>
      </font>
    </dxf>
    <dxf>
      <font>
        <name val="Calibri"/>
        <charset val="1"/>
        <family val="0"/>
        <b val="1"/>
        <color rgb="FF9B2F23"/>
        <sz val="10"/>
      </font>
      <fill>
        <patternFill>
          <bgColor rgb="FFF3D9D5"/>
        </patternFill>
      </fill>
    </dxf>
    <dxf>
      <font>
        <name val="Calibri"/>
        <charset val="1"/>
        <family val="0"/>
        <b val="1"/>
        <color rgb="FF26292F"/>
        <sz val="10"/>
      </font>
    </dxf>
    <dxf>
      <fill>
        <patternFill>
          <bgColor rgb="FF2E7D5B"/>
        </patternFill>
      </fill>
    </dxf>
    <dxf>
      <fill>
        <patternFill>
          <bgColor rgb="FF7B2D3A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B23A2E"/>
      <rgbColor rgb="FF008000"/>
      <rgbColor rgb="FF000080"/>
      <rgbColor rgb="FFB08A2E"/>
      <rgbColor rgb="FF800080"/>
      <rgbColor rgb="FF008080"/>
      <rgbColor rgb="FFC9BEB2"/>
      <rgbColor rgb="FF7A7B82"/>
      <rgbColor rgb="FF9999FF"/>
      <rgbColor rgb="FF9E3C4C"/>
      <rgbColor rgb="FFFBFAF8"/>
      <rgbColor rgb="FFF3F1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D5CE"/>
      <rgbColor rgb="FFEBE7E1"/>
      <rgbColor rgb="FFFFFF99"/>
      <rgbColor rgb="FF99CCFF"/>
      <rgbColor rgb="FFFF99CC"/>
      <rgbColor rgb="FFCC99FF"/>
      <rgbColor rgb="FFF3D9D5"/>
      <rgbColor rgb="FF4F81BD"/>
      <rgbColor rgb="FF33CCCC"/>
      <rgbColor rgb="FF99CC00"/>
      <rgbColor rgb="FFFFCC00"/>
      <rgbColor rgb="FFFF9900"/>
      <rgbColor rgb="FFFF6600"/>
      <rgbColor rgb="FF5A6B7B"/>
      <rgbColor rgb="FF878787"/>
      <rgbColor rgb="FF003366"/>
      <rgbColor rgb="FF2E7D5B"/>
      <rgbColor rgb="FF003300"/>
      <rgbColor rgb="FF26292F"/>
      <rgbColor rgb="FF9B2F23"/>
      <rgbColor rgb="FF7B2D3A"/>
      <rgbColor rgb="FF3A3E47"/>
      <rgbColor rgb="FF2A2D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Betriebsausgaben je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7b2d3a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Monatsübersicht!$B$13:$B$19</c:f>
              <c:strCache>
                <c:ptCount val="7"/>
                <c:pt idx="0">
                  <c:v>Wareneinkauf</c:v>
                </c:pt>
                <c:pt idx="1">
                  <c:v>Getränkeeinkauf</c:v>
                </c:pt>
                <c:pt idx="2">
                  <c:v>Löhne/Aushilfe</c:v>
                </c:pt>
                <c:pt idx="3">
                  <c:v>Miete/Nebenkosten</c:v>
                </c:pt>
                <c:pt idx="4">
                  <c:v>Reinigung</c:v>
                </c:pt>
                <c:pt idx="5">
                  <c:v>Reparatur/Instand.</c:v>
                </c:pt>
                <c:pt idx="6">
                  <c:v>Büro/Sonstiges</c:v>
                </c:pt>
              </c:strCache>
            </c:strRef>
          </c:cat>
          <c:val>
            <c:numRef>
              <c:f>Monatsübersicht!$C$13:$C$19</c:f>
              <c:numCache>
                <c:formatCode>#,##0.00" €";[RED]\-#,##0.00" €";\–</c:formatCode>
                <c:ptCount val="7"/>
                <c:pt idx="0">
                  <c:v>507.95</c:v>
                </c:pt>
                <c:pt idx="1">
                  <c:v>800.15</c:v>
                </c:pt>
                <c:pt idx="2">
                  <c:v>390</c:v>
                </c:pt>
                <c:pt idx="3">
                  <c:v>950</c:v>
                </c:pt>
                <c:pt idx="4">
                  <c:v>167.9</c:v>
                </c:pt>
                <c:pt idx="5">
                  <c:v>189</c:v>
                </c:pt>
                <c:pt idx="6">
                  <c:v>34.5</c:v>
                </c:pt>
              </c:numCache>
            </c:numRef>
          </c:val>
        </c:ser>
        <c:gapWidth val="150"/>
        <c:overlap val="0"/>
        <c:axId val="32594227"/>
        <c:axId val="73261354"/>
      </c:barChart>
      <c:catAx>
        <c:axId val="325942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261354"/>
        <c:crosses val="autoZero"/>
        <c:auto val="1"/>
        <c:lblAlgn val="ctr"/>
        <c:lblOffset val="100"/>
        <c:noMultiLvlLbl val="0"/>
      </c:catAx>
      <c:valAx>
        <c:axId val="732613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;[RED]\-#,##0.0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59422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Einnahmen vs. Ausgaben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2e7d5b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7b2d3a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eparator>; </c:separator>
            <c:showLeaderLines val="1"/>
          </c:dLbls>
          <c:cat>
            <c:strRef>
              <c:f>Monatsübersicht!$O$19:$O$20</c:f>
              <c:strCache>
                <c:ptCount val="2"/>
                <c:pt idx="0">
                  <c:v>Einnahmen</c:v>
                </c:pt>
                <c:pt idx="1">
                  <c:v>Ausgaben</c:v>
                </c:pt>
              </c:strCache>
            </c:strRef>
          </c:cat>
          <c:val>
            <c:numRef>
              <c:f>Monatsübersicht!$P$19:$P$20</c:f>
              <c:numCache>
                <c:formatCode>#,##0.00" €"</c:formatCode>
                <c:ptCount val="2"/>
                <c:pt idx="0">
                  <c:v>22195.2</c:v>
                </c:pt>
                <c:pt idx="1">
                  <c:v>18449.5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20</xdr:row>
      <xdr:rowOff>0</xdr:rowOff>
    </xdr:from>
    <xdr:to>
      <xdr:col>4</xdr:col>
      <xdr:colOff>1461240</xdr:colOff>
      <xdr:row>33</xdr:row>
      <xdr:rowOff>187200</xdr:rowOff>
    </xdr:to>
    <xdr:graphicFrame>
      <xdr:nvGraphicFramePr>
        <xdr:cNvPr id="0" name="Chart 1"/>
        <xdr:cNvGraphicFramePr/>
      </xdr:nvGraphicFramePr>
      <xdr:xfrm>
        <a:off x="154800" y="4429080"/>
        <a:ext cx="4139640" cy="266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20</xdr:row>
      <xdr:rowOff>0</xdr:rowOff>
    </xdr:from>
    <xdr:to>
      <xdr:col>12</xdr:col>
      <xdr:colOff>506160</xdr:colOff>
      <xdr:row>33</xdr:row>
      <xdr:rowOff>187200</xdr:rowOff>
    </xdr:to>
    <xdr:graphicFrame>
      <xdr:nvGraphicFramePr>
        <xdr:cNvPr id="1" name="Chart 2"/>
        <xdr:cNvGraphicFramePr/>
      </xdr:nvGraphicFramePr>
      <xdr:xfrm>
        <a:off x="5511960" y="4429080"/>
        <a:ext cx="4139640" cy="266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B2D3A"/>
    <pageSetUpPr fitToPage="true"/>
  </sheetPr>
  <dimension ref="A1:J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30"/>
    <col collapsed="false" customWidth="true" hidden="false" outlineLevel="0" max="4" min="4" style="0" width="19"/>
    <col collapsed="false" customWidth="true" hidden="false" outlineLevel="0" max="5" min="5" style="0" width="17"/>
    <col collapsed="false" customWidth="true" hidden="false" outlineLevel="0" max="7" min="6" style="0" width="13"/>
    <col collapsed="false" customWidth="true" hidden="false" outlineLevel="0" max="9" min="8" style="0" width="12"/>
    <col collapsed="false" customWidth="true" hidden="false" outlineLevel="0" max="10" min="10" style="0" width="15"/>
  </cols>
  <sheetData>
    <row r="1" customFormat="false" ht="43.5" hidden="false" customHeight="true" outlineLevel="0" collapsed="false">
      <c r="A1" s="1"/>
      <c r="B1" s="2" t="s">
        <v>0</v>
      </c>
      <c r="C1" s="3" t="s">
        <v>1</v>
      </c>
      <c r="D1" s="3"/>
      <c r="E1" s="3"/>
      <c r="F1" s="3"/>
      <c r="G1" s="3"/>
      <c r="H1" s="4" t="s">
        <v>2</v>
      </c>
      <c r="I1" s="4"/>
      <c r="J1" s="4"/>
    </row>
    <row r="2" customFormat="false" ht="18" hidden="false" customHeight="true" outlineLevel="0" collapsed="false">
      <c r="A2" s="5" t="s">
        <v>3</v>
      </c>
      <c r="B2" s="5"/>
      <c r="C2" s="5"/>
      <c r="D2" s="5"/>
      <c r="E2" s="5"/>
      <c r="F2" s="5"/>
      <c r="G2" s="5"/>
      <c r="H2" s="5"/>
      <c r="I2" s="5"/>
      <c r="J2" s="5"/>
    </row>
    <row r="3" customFormat="false" ht="19.5" hidden="false" customHeight="true" outlineLevel="0" collapsed="false">
      <c r="A3" s="6" t="str">
        <f aca="false">Einstellungen!$C$6</f>
        <v>Gastrobetrieb Muster – Hauptkasse</v>
      </c>
      <c r="B3" s="6"/>
      <c r="C3" s="7" t="str">
        <f aca="false">"Zeitraum: "&amp;TEXT(MIN(A5:A50),"MMMM YYYY")</f>
        <v>Zeitraum: January 2026</v>
      </c>
      <c r="D3" s="7"/>
      <c r="E3" s="7"/>
      <c r="F3" s="8" t="str">
        <f aca="false">"Währung: Euro (€)"</f>
        <v>Währung: Euro (€)</v>
      </c>
      <c r="G3" s="8"/>
      <c r="H3" s="8"/>
      <c r="I3" s="9" t="str">
        <f aca="false">"Anfangsbestand: "&amp;TEXT(Einstellungen!$C$7,"#,##0.00")&amp;" €"</f>
        <v>Anfangsbestand: 350.00 €</v>
      </c>
      <c r="J3" s="9"/>
    </row>
    <row r="4" customFormat="false" ht="24" hidden="false" customHeight="true" outlineLevel="0" collapsed="false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</row>
    <row r="5" customFormat="false" ht="18.75" hidden="false" customHeight="true" outlineLevel="0" collapsed="false">
      <c r="A5" s="11" t="n">
        <v>46024</v>
      </c>
      <c r="B5" s="12" t="s">
        <v>14</v>
      </c>
      <c r="C5" s="13" t="s">
        <v>15</v>
      </c>
      <c r="D5" s="13" t="s">
        <v>16</v>
      </c>
      <c r="E5" s="14" t="n">
        <v>0.19</v>
      </c>
      <c r="F5" s="15" t="n">
        <v>1180.5</v>
      </c>
      <c r="G5" s="15"/>
      <c r="H5" s="15" t="n">
        <f aca="false">IF($E5="","",IFERROR(($F5+$G5)*$E5/(1+$E5),0))</f>
        <v>188.483193277311</v>
      </c>
      <c r="I5" s="15" t="n">
        <f aca="false">IF(AND($F5="",$G5=""),"",($F5+$G5)-$H5)</f>
        <v>992.016806722689</v>
      </c>
      <c r="J5" s="15" t="n">
        <f aca="false">IF(AND($F5="",$G5=""),"",Einstellungen!$C$7+N($F5)-N($G5))</f>
        <v>1530.5</v>
      </c>
    </row>
    <row r="6" customFormat="false" ht="18.75" hidden="false" customHeight="true" outlineLevel="0" collapsed="false">
      <c r="A6" s="16" t="n">
        <v>46024</v>
      </c>
      <c r="B6" s="17" t="s">
        <v>17</v>
      </c>
      <c r="C6" s="18" t="s">
        <v>18</v>
      </c>
      <c r="D6" s="18" t="s">
        <v>19</v>
      </c>
      <c r="E6" s="19" t="n">
        <v>0.07</v>
      </c>
      <c r="F6" s="20"/>
      <c r="G6" s="20" t="n">
        <v>142.8</v>
      </c>
      <c r="H6" s="20" t="n">
        <f aca="false">IF($E6="","",IFERROR(($F6+$G6)*$E6/(1+$E6),0))</f>
        <v>9.34205607476636</v>
      </c>
      <c r="I6" s="20" t="n">
        <f aca="false">IF(AND($F6="",$G6=""),"",($F6+$G6)-$H6)</f>
        <v>133.457943925234</v>
      </c>
      <c r="J6" s="20" t="n">
        <f aca="false">IF(AND($F6="",$G6=""),"",IF(N($J5)=0,Einstellungen!$C$7,$J5)+N($F6)-N($G6))</f>
        <v>1387.7</v>
      </c>
    </row>
    <row r="7" customFormat="false" ht="18.75" hidden="false" customHeight="true" outlineLevel="0" collapsed="false">
      <c r="A7" s="11" t="n">
        <v>46025</v>
      </c>
      <c r="B7" s="12" t="s">
        <v>20</v>
      </c>
      <c r="C7" s="13" t="s">
        <v>21</v>
      </c>
      <c r="D7" s="13" t="s">
        <v>16</v>
      </c>
      <c r="E7" s="14" t="n">
        <v>0.19</v>
      </c>
      <c r="F7" s="15" t="n">
        <v>1395.2</v>
      </c>
      <c r="G7" s="15"/>
      <c r="H7" s="15" t="n">
        <f aca="false">IF($E7="","",IFERROR(($F7+$G7)*$E7/(1+$E7),0))</f>
        <v>222.763025210084</v>
      </c>
      <c r="I7" s="15" t="n">
        <f aca="false">IF(AND($F7="",$G7=""),"",($F7+$G7)-$H7)</f>
        <v>1172.43697478992</v>
      </c>
      <c r="J7" s="15" t="n">
        <f aca="false">IF(AND($F7="",$G7=""),"",IF(N($J6)=0,Einstellungen!$C$7,$J6)+N($F7)-N($G7))</f>
        <v>2782.9</v>
      </c>
    </row>
    <row r="8" customFormat="false" ht="18.75" hidden="false" customHeight="true" outlineLevel="0" collapsed="false">
      <c r="A8" s="16" t="n">
        <v>46025</v>
      </c>
      <c r="B8" s="17" t="s">
        <v>22</v>
      </c>
      <c r="C8" s="18" t="s">
        <v>23</v>
      </c>
      <c r="D8" s="18" t="s">
        <v>24</v>
      </c>
      <c r="E8" s="19" t="n">
        <v>0.19</v>
      </c>
      <c r="F8" s="20"/>
      <c r="G8" s="20" t="n">
        <v>318.65</v>
      </c>
      <c r="H8" s="20" t="n">
        <f aca="false">IF($E8="","",IFERROR(($F8+$G8)*$E8/(1+$E8),0))</f>
        <v>50.8768907563025</v>
      </c>
      <c r="I8" s="20" t="n">
        <f aca="false">IF(AND($F8="",$G8=""),"",($F8+$G8)-$H8)</f>
        <v>267.773109243698</v>
      </c>
      <c r="J8" s="20" t="n">
        <f aca="false">IF(AND($F8="",$G8=""),"",IF(N($J7)=0,Einstellungen!$C$7,$J7)+N($F8)-N($G8))</f>
        <v>2464.25</v>
      </c>
    </row>
    <row r="9" customFormat="false" ht="18.75" hidden="false" customHeight="true" outlineLevel="0" collapsed="false">
      <c r="A9" s="11" t="n">
        <v>46026</v>
      </c>
      <c r="B9" s="12" t="s">
        <v>25</v>
      </c>
      <c r="C9" s="13" t="s">
        <v>26</v>
      </c>
      <c r="D9" s="13" t="s">
        <v>16</v>
      </c>
      <c r="E9" s="14" t="n">
        <v>0.19</v>
      </c>
      <c r="F9" s="15" t="n">
        <v>1620</v>
      </c>
      <c r="G9" s="15"/>
      <c r="H9" s="15" t="n">
        <f aca="false">IF($E9="","",IFERROR(($F9+$G9)*$E9/(1+$E9),0))</f>
        <v>258.655462184874</v>
      </c>
      <c r="I9" s="15" t="n">
        <f aca="false">IF(AND($F9="",$G9=""),"",($F9+$G9)-$H9)</f>
        <v>1361.34453781513</v>
      </c>
      <c r="J9" s="15" t="n">
        <f aca="false">IF(AND($F9="",$G9=""),"",IF(N($J8)=0,Einstellungen!$C$7,$J8)+N($F9)-N($G9))</f>
        <v>4084.25</v>
      </c>
    </row>
    <row r="10" customFormat="false" ht="18.75" hidden="false" customHeight="true" outlineLevel="0" collapsed="false">
      <c r="A10" s="16" t="n">
        <v>46027</v>
      </c>
      <c r="B10" s="17" t="s">
        <v>27</v>
      </c>
      <c r="C10" s="18" t="s">
        <v>28</v>
      </c>
      <c r="D10" s="18" t="s">
        <v>29</v>
      </c>
      <c r="E10" s="19" t="n">
        <v>0.19</v>
      </c>
      <c r="F10" s="20"/>
      <c r="G10" s="20" t="n">
        <v>47.9</v>
      </c>
      <c r="H10" s="20" t="n">
        <f aca="false">IF($E10="","",IFERROR(($F10+$G10)*$E10/(1+$E10),0))</f>
        <v>7.64789915966387</v>
      </c>
      <c r="I10" s="20" t="n">
        <f aca="false">IF(AND($F10="",$G10=""),"",($F10+$G10)-$H10)</f>
        <v>40.2521008403361</v>
      </c>
      <c r="J10" s="20" t="n">
        <f aca="false">IF(AND($F10="",$G10=""),"",IF(N($J9)=0,Einstellungen!$C$7,$J9)+N($F10)-N($G10))</f>
        <v>4036.35</v>
      </c>
    </row>
    <row r="11" customFormat="false" ht="18.75" hidden="false" customHeight="true" outlineLevel="0" collapsed="false">
      <c r="A11" s="11" t="n">
        <v>46027</v>
      </c>
      <c r="B11" s="12" t="s">
        <v>30</v>
      </c>
      <c r="C11" s="13" t="s">
        <v>31</v>
      </c>
      <c r="D11" s="13" t="s">
        <v>32</v>
      </c>
      <c r="E11" s="14" t="n">
        <v>0</v>
      </c>
      <c r="F11" s="15" t="n">
        <v>65</v>
      </c>
      <c r="G11" s="15"/>
      <c r="H11" s="15" t="n">
        <f aca="false">IF($E11="","",IFERROR(($F11+$G11)*$E11/(1+$E11),0))</f>
        <v>0</v>
      </c>
      <c r="I11" s="15" t="n">
        <f aca="false">IF(AND($F11="",$G11=""),"",($F11+$G11)-$H11)</f>
        <v>65</v>
      </c>
      <c r="J11" s="15" t="n">
        <f aca="false">IF(AND($F11="",$G11=""),"",IF(N($J10)=0,Einstellungen!$C$7,$J10)+N($F11)-N($G11))</f>
        <v>4101.35</v>
      </c>
    </row>
    <row r="12" customFormat="false" ht="18.75" hidden="false" customHeight="true" outlineLevel="0" collapsed="false">
      <c r="A12" s="16" t="n">
        <v>46028</v>
      </c>
      <c r="B12" s="17" t="s">
        <v>33</v>
      </c>
      <c r="C12" s="18" t="s">
        <v>34</v>
      </c>
      <c r="D12" s="18" t="s">
        <v>35</v>
      </c>
      <c r="E12" s="19" t="n">
        <v>0</v>
      </c>
      <c r="F12" s="20"/>
      <c r="G12" s="20" t="n">
        <v>3300</v>
      </c>
      <c r="H12" s="20" t="n">
        <f aca="false">IF($E12="","",IFERROR(($F12+$G12)*$E12/(1+$E12),0))</f>
        <v>0</v>
      </c>
      <c r="I12" s="20" t="n">
        <f aca="false">IF(AND($F12="",$G12=""),"",($F12+$G12)-$H12)</f>
        <v>3300</v>
      </c>
      <c r="J12" s="20" t="n">
        <f aca="false">IF(AND($F12="",$G12=""),"",IF(N($J11)=0,Einstellungen!$C$7,$J11)+N($F12)-N($G12))</f>
        <v>801.35</v>
      </c>
    </row>
    <row r="13" customFormat="false" ht="18.75" hidden="false" customHeight="true" outlineLevel="0" collapsed="false">
      <c r="A13" s="11" t="n">
        <v>46029</v>
      </c>
      <c r="B13" s="12" t="s">
        <v>36</v>
      </c>
      <c r="C13" s="13" t="s">
        <v>37</v>
      </c>
      <c r="D13" s="13" t="s">
        <v>16</v>
      </c>
      <c r="E13" s="14" t="n">
        <v>0.19</v>
      </c>
      <c r="F13" s="15" t="n">
        <v>980.75</v>
      </c>
      <c r="G13" s="15"/>
      <c r="H13" s="15" t="n">
        <f aca="false">IF($E13="","",IFERROR(($F13+$G13)*$E13/(1+$E13),0))</f>
        <v>156.590336134454</v>
      </c>
      <c r="I13" s="15" t="n">
        <f aca="false">IF(AND($F13="",$G13=""),"",($F13+$G13)-$H13)</f>
        <v>824.159663865546</v>
      </c>
      <c r="J13" s="15" t="n">
        <f aca="false">IF(AND($F13="",$G13=""),"",IF(N($J12)=0,Einstellungen!$C$7,$J12)+N($F13)-N($G13))</f>
        <v>1782.1</v>
      </c>
    </row>
    <row r="14" customFormat="false" ht="18.75" hidden="false" customHeight="true" outlineLevel="0" collapsed="false">
      <c r="A14" s="16" t="n">
        <v>46030</v>
      </c>
      <c r="B14" s="17" t="s">
        <v>38</v>
      </c>
      <c r="C14" s="18" t="s">
        <v>39</v>
      </c>
      <c r="D14" s="18" t="s">
        <v>40</v>
      </c>
      <c r="E14" s="19" t="n">
        <v>0</v>
      </c>
      <c r="F14" s="20"/>
      <c r="G14" s="20" t="n">
        <v>210</v>
      </c>
      <c r="H14" s="20" t="n">
        <f aca="false">IF($E14="","",IFERROR(($F14+$G14)*$E14/(1+$E14),0))</f>
        <v>0</v>
      </c>
      <c r="I14" s="20" t="n">
        <f aca="false">IF(AND($F14="",$G14=""),"",($F14+$G14)-$H14)</f>
        <v>210</v>
      </c>
      <c r="J14" s="20" t="n">
        <f aca="false">IF(AND($F14="",$G14=""),"",IF(N($J13)=0,Einstellungen!$C$7,$J13)+N($F14)-N($G14))</f>
        <v>1572.1</v>
      </c>
    </row>
    <row r="15" customFormat="false" ht="18.75" hidden="false" customHeight="true" outlineLevel="0" collapsed="false">
      <c r="A15" s="11" t="n">
        <v>46031</v>
      </c>
      <c r="B15" s="12" t="s">
        <v>41</v>
      </c>
      <c r="C15" s="13" t="s">
        <v>42</v>
      </c>
      <c r="D15" s="13" t="s">
        <v>16</v>
      </c>
      <c r="E15" s="14" t="n">
        <v>0.19</v>
      </c>
      <c r="F15" s="15" t="n">
        <v>1455.4</v>
      </c>
      <c r="G15" s="15"/>
      <c r="H15" s="15" t="n">
        <f aca="false">IF($E15="","",IFERROR(($F15+$G15)*$E15/(1+$E15),0))</f>
        <v>232.374789915966</v>
      </c>
      <c r="I15" s="15" t="n">
        <f aca="false">IF(AND($F15="",$G15=""),"",($F15+$G15)-$H15)</f>
        <v>1223.02521008403</v>
      </c>
      <c r="J15" s="15" t="n">
        <f aca="false">IF(AND($F15="",$G15=""),"",IF(N($J14)=0,Einstellungen!$C$7,$J14)+N($F15)-N($G15))</f>
        <v>3027.5</v>
      </c>
    </row>
    <row r="16" customFormat="false" ht="18.75" hidden="false" customHeight="true" outlineLevel="0" collapsed="false">
      <c r="A16" s="16" t="n">
        <v>46032</v>
      </c>
      <c r="B16" s="17" t="s">
        <v>43</v>
      </c>
      <c r="C16" s="18" t="s">
        <v>44</v>
      </c>
      <c r="D16" s="18" t="s">
        <v>19</v>
      </c>
      <c r="E16" s="19" t="n">
        <v>0.07</v>
      </c>
      <c r="F16" s="20"/>
      <c r="G16" s="20" t="n">
        <v>268.4</v>
      </c>
      <c r="H16" s="20" t="n">
        <f aca="false">IF($E16="","",IFERROR(($F16+$G16)*$E16/(1+$E16),0))</f>
        <v>17.5588785046729</v>
      </c>
      <c r="I16" s="20" t="n">
        <f aca="false">IF(AND($F16="",$G16=""),"",($F16+$G16)-$H16)</f>
        <v>250.841121495327</v>
      </c>
      <c r="J16" s="20" t="n">
        <f aca="false">IF(AND($F16="",$G16=""),"",IF(N($J15)=0,Einstellungen!$C$7,$J15)+N($F16)-N($G16))</f>
        <v>2759.1</v>
      </c>
    </row>
    <row r="17" customFormat="false" ht="18.75" hidden="false" customHeight="true" outlineLevel="0" collapsed="false">
      <c r="A17" s="11" t="n">
        <v>46032</v>
      </c>
      <c r="B17" s="12" t="s">
        <v>45</v>
      </c>
      <c r="C17" s="13" t="s">
        <v>46</v>
      </c>
      <c r="D17" s="13" t="s">
        <v>16</v>
      </c>
      <c r="E17" s="14" t="n">
        <v>0.19</v>
      </c>
      <c r="F17" s="15" t="n">
        <v>1890.1</v>
      </c>
      <c r="G17" s="15"/>
      <c r="H17" s="15" t="n">
        <f aca="false">IF($E17="","",IFERROR(($F17+$G17)*$E17/(1+$E17),0))</f>
        <v>301.780672268908</v>
      </c>
      <c r="I17" s="15" t="n">
        <f aca="false">IF(AND($F17="",$G17=""),"",($F17+$G17)-$H17)</f>
        <v>1588.31932773109</v>
      </c>
      <c r="J17" s="15" t="n">
        <f aca="false">IF(AND($F17="",$G17=""),"",IF(N($J16)=0,Einstellungen!$C$7,$J16)+N($F17)-N($G17))</f>
        <v>4649.2</v>
      </c>
    </row>
    <row r="18" customFormat="false" ht="18.75" hidden="false" customHeight="true" outlineLevel="0" collapsed="false">
      <c r="A18" s="16" t="n">
        <v>46034</v>
      </c>
      <c r="B18" s="17" t="s">
        <v>47</v>
      </c>
      <c r="C18" s="18" t="s">
        <v>48</v>
      </c>
      <c r="D18" s="18" t="s">
        <v>49</v>
      </c>
      <c r="E18" s="19" t="n">
        <v>0</v>
      </c>
      <c r="F18" s="20" t="n">
        <v>500</v>
      </c>
      <c r="G18" s="20"/>
      <c r="H18" s="20" t="n">
        <f aca="false">IF($E18="","",IFERROR(($F18+$G18)*$E18/(1+$E18),0))</f>
        <v>0</v>
      </c>
      <c r="I18" s="20" t="n">
        <f aca="false">IF(AND($F18="",$G18=""),"",($F18+$G18)-$H18)</f>
        <v>500</v>
      </c>
      <c r="J18" s="20" t="n">
        <f aca="false">IF(AND($F18="",$G18=""),"",IF(N($J17)=0,Einstellungen!$C$7,$J17)+N($F18)-N($G18))</f>
        <v>5149.2</v>
      </c>
    </row>
    <row r="19" customFormat="false" ht="18.75" hidden="false" customHeight="true" outlineLevel="0" collapsed="false">
      <c r="A19" s="11" t="n">
        <v>46034</v>
      </c>
      <c r="B19" s="12" t="s">
        <v>50</v>
      </c>
      <c r="C19" s="13" t="s">
        <v>51</v>
      </c>
      <c r="D19" s="13" t="s">
        <v>52</v>
      </c>
      <c r="E19" s="14" t="n">
        <v>0.19</v>
      </c>
      <c r="F19" s="15"/>
      <c r="G19" s="15" t="n">
        <v>189</v>
      </c>
      <c r="H19" s="15" t="n">
        <f aca="false">IF($E19="","",IFERROR(($F19+$G19)*$E19/(1+$E19),0))</f>
        <v>30.1764705882353</v>
      </c>
      <c r="I19" s="15" t="n">
        <f aca="false">IF(AND($F19="",$G19=""),"",($F19+$G19)-$H19)</f>
        <v>158.823529411765</v>
      </c>
      <c r="J19" s="15" t="n">
        <f aca="false">IF(AND($F19="",$G19=""),"",IF(N($J18)=0,Einstellungen!$C$7,$J18)+N($F19)-N($G19))</f>
        <v>4960.2</v>
      </c>
    </row>
    <row r="20" customFormat="false" ht="18.75" hidden="false" customHeight="true" outlineLevel="0" collapsed="false">
      <c r="A20" s="16" t="n">
        <v>46035</v>
      </c>
      <c r="B20" s="17" t="s">
        <v>53</v>
      </c>
      <c r="C20" s="18" t="s">
        <v>34</v>
      </c>
      <c r="D20" s="18" t="s">
        <v>35</v>
      </c>
      <c r="E20" s="19" t="n">
        <v>0</v>
      </c>
      <c r="F20" s="20"/>
      <c r="G20" s="20" t="n">
        <v>4160</v>
      </c>
      <c r="H20" s="20" t="n">
        <f aca="false">IF($E20="","",IFERROR(($F20+$G20)*$E20/(1+$E20),0))</f>
        <v>0</v>
      </c>
      <c r="I20" s="20" t="n">
        <f aca="false">IF(AND($F20="",$G20=""),"",($F20+$G20)-$H20)</f>
        <v>4160</v>
      </c>
      <c r="J20" s="20" t="n">
        <f aca="false">IF(AND($F20="",$G20=""),"",IF(N($J19)=0,Einstellungen!$C$7,$J19)+N($F20)-N($G20))</f>
        <v>800.200000000001</v>
      </c>
    </row>
    <row r="21" customFormat="false" ht="18.75" hidden="false" customHeight="true" outlineLevel="0" collapsed="false">
      <c r="A21" s="11" t="n">
        <v>46036</v>
      </c>
      <c r="B21" s="12" t="s">
        <v>54</v>
      </c>
      <c r="C21" s="13" t="s">
        <v>55</v>
      </c>
      <c r="D21" s="13" t="s">
        <v>16</v>
      </c>
      <c r="E21" s="14" t="n">
        <v>0.19</v>
      </c>
      <c r="F21" s="15" t="n">
        <v>1240.3</v>
      </c>
      <c r="G21" s="15"/>
      <c r="H21" s="15" t="n">
        <f aca="false">IF($E21="","",IFERROR(($F21+$G21)*$E21/(1+$E21),0))</f>
        <v>198.031092436975</v>
      </c>
      <c r="I21" s="15" t="n">
        <f aca="false">IF(AND($F21="",$G21=""),"",($F21+$G21)-$H21)</f>
        <v>1042.26890756303</v>
      </c>
      <c r="J21" s="15" t="n">
        <f aca="false">IF(AND($F21="",$G21=""),"",IF(N($J20)=0,Einstellungen!$C$7,$J20)+N($F21)-N($G21))</f>
        <v>2040.5</v>
      </c>
    </row>
    <row r="22" customFormat="false" ht="18.75" hidden="false" customHeight="true" outlineLevel="0" collapsed="false">
      <c r="A22" s="16" t="n">
        <v>46037</v>
      </c>
      <c r="B22" s="17" t="s">
        <v>56</v>
      </c>
      <c r="C22" s="18" t="s">
        <v>57</v>
      </c>
      <c r="D22" s="18" t="s">
        <v>58</v>
      </c>
      <c r="E22" s="19" t="n">
        <v>0.19</v>
      </c>
      <c r="F22" s="20"/>
      <c r="G22" s="20" t="n">
        <v>34.5</v>
      </c>
      <c r="H22" s="20" t="n">
        <f aca="false">IF($E22="","",IFERROR(($F22+$G22)*$E22/(1+$E22),0))</f>
        <v>5.50840336134454</v>
      </c>
      <c r="I22" s="20" t="n">
        <f aca="false">IF(AND($F22="",$G22=""),"",($F22+$G22)-$H22)</f>
        <v>28.9915966386555</v>
      </c>
      <c r="J22" s="20" t="n">
        <f aca="false">IF(AND($F22="",$G22=""),"",IF(N($J21)=0,Einstellungen!$C$7,$J21)+N($F22)-N($G22))</f>
        <v>2006</v>
      </c>
    </row>
    <row r="23" customFormat="false" ht="18.75" hidden="false" customHeight="true" outlineLevel="0" collapsed="false">
      <c r="A23" s="11" t="n">
        <v>46037</v>
      </c>
      <c r="B23" s="12" t="s">
        <v>59</v>
      </c>
      <c r="C23" s="13" t="s">
        <v>60</v>
      </c>
      <c r="D23" s="13" t="s">
        <v>61</v>
      </c>
      <c r="E23" s="14" t="n">
        <v>0</v>
      </c>
      <c r="F23" s="15"/>
      <c r="G23" s="15" t="n">
        <v>950</v>
      </c>
      <c r="H23" s="15" t="n">
        <f aca="false">IF($E23="","",IFERROR(($F23+$G23)*$E23/(1+$E23),0))</f>
        <v>0</v>
      </c>
      <c r="I23" s="15" t="n">
        <f aca="false">IF(AND($F23="",$G23=""),"",($F23+$G23)-$H23)</f>
        <v>950</v>
      </c>
      <c r="J23" s="15" t="n">
        <f aca="false">IF(AND($F23="",$G23=""),"",IF(N($J22)=0,Einstellungen!$C$7,$J22)+N($F23)-N($G23))</f>
        <v>1056</v>
      </c>
    </row>
    <row r="24" customFormat="false" ht="18.75" hidden="false" customHeight="true" outlineLevel="0" collapsed="false">
      <c r="A24" s="16" t="n">
        <v>46038</v>
      </c>
      <c r="B24" s="17" t="s">
        <v>62</v>
      </c>
      <c r="C24" s="18" t="s">
        <v>63</v>
      </c>
      <c r="D24" s="18" t="s">
        <v>16</v>
      </c>
      <c r="E24" s="19" t="n">
        <v>0.19</v>
      </c>
      <c r="F24" s="20" t="n">
        <v>1710.9</v>
      </c>
      <c r="G24" s="20"/>
      <c r="H24" s="20" t="n">
        <f aca="false">IF($E24="","",IFERROR(($F24+$G24)*$E24/(1+$E24),0))</f>
        <v>273.168907563025</v>
      </c>
      <c r="I24" s="20" t="n">
        <f aca="false">IF(AND($F24="",$G24=""),"",($F24+$G24)-$H24)</f>
        <v>1437.73109243698</v>
      </c>
      <c r="J24" s="20" t="n">
        <f aca="false">IF(AND($F24="",$G24=""),"",IF(N($J23)=0,Einstellungen!$C$7,$J23)+N($F24)-N($G24))</f>
        <v>2766.9</v>
      </c>
    </row>
    <row r="25" customFormat="false" ht="18.75" hidden="false" customHeight="true" outlineLevel="0" collapsed="false">
      <c r="A25" s="11" t="n">
        <v>46039</v>
      </c>
      <c r="B25" s="12" t="s">
        <v>64</v>
      </c>
      <c r="C25" s="13" t="s">
        <v>23</v>
      </c>
      <c r="D25" s="13" t="s">
        <v>24</v>
      </c>
      <c r="E25" s="14" t="n">
        <v>0.19</v>
      </c>
      <c r="F25" s="15"/>
      <c r="G25" s="15" t="n">
        <v>276.2</v>
      </c>
      <c r="H25" s="15" t="n">
        <f aca="false">IF($E25="","",IFERROR(($F25+$G25)*$E25/(1+$E25),0))</f>
        <v>44.0991596638656</v>
      </c>
      <c r="I25" s="15" t="n">
        <f aca="false">IF(AND($F25="",$G25=""),"",($F25+$G25)-$H25)</f>
        <v>232.100840336134</v>
      </c>
      <c r="J25" s="15" t="n">
        <f aca="false">IF(AND($F25="",$G25=""),"",IF(N($J24)=0,Einstellungen!$C$7,$J24)+N($F25)-N($G25))</f>
        <v>2490.7</v>
      </c>
    </row>
    <row r="26" customFormat="false" ht="18.75" hidden="false" customHeight="true" outlineLevel="0" collapsed="false">
      <c r="A26" s="16" t="n">
        <v>46040</v>
      </c>
      <c r="B26" s="17" t="s">
        <v>65</v>
      </c>
      <c r="C26" s="18" t="s">
        <v>66</v>
      </c>
      <c r="D26" s="18" t="s">
        <v>16</v>
      </c>
      <c r="E26" s="19" t="n">
        <v>0.19</v>
      </c>
      <c r="F26" s="20" t="n">
        <v>2015.6</v>
      </c>
      <c r="G26" s="20"/>
      <c r="H26" s="20" t="n">
        <f aca="false">IF($E26="","",IFERROR(($F26+$G26)*$E26/(1+$E26),0))</f>
        <v>321.818487394958</v>
      </c>
      <c r="I26" s="20" t="n">
        <f aca="false">IF(AND($F26="",$G26=""),"",($F26+$G26)-$H26)</f>
        <v>1693.78151260504</v>
      </c>
      <c r="J26" s="20" t="n">
        <f aca="false">IF(AND($F26="",$G26=""),"",IF(N($J25)=0,Einstellungen!$C$7,$J25)+N($F26)-N($G26))</f>
        <v>4506.3</v>
      </c>
    </row>
    <row r="27" customFormat="false" ht="18.75" hidden="false" customHeight="true" outlineLevel="0" collapsed="false">
      <c r="A27" s="11" t="n">
        <v>46041</v>
      </c>
      <c r="B27" s="12" t="s">
        <v>67</v>
      </c>
      <c r="C27" s="13" t="s">
        <v>68</v>
      </c>
      <c r="D27" s="13" t="s">
        <v>68</v>
      </c>
      <c r="E27" s="14" t="n">
        <v>0</v>
      </c>
      <c r="F27" s="15"/>
      <c r="G27" s="15" t="n">
        <v>400</v>
      </c>
      <c r="H27" s="15" t="n">
        <f aca="false">IF($E27="","",IFERROR(($F27+$G27)*$E27/(1+$E27),0))</f>
        <v>0</v>
      </c>
      <c r="I27" s="15" t="n">
        <f aca="false">IF(AND($F27="",$G27=""),"",($F27+$G27)-$H27)</f>
        <v>400</v>
      </c>
      <c r="J27" s="15" t="n">
        <f aca="false">IF(AND($F27="",$G27=""),"",IF(N($J26)=0,Einstellungen!$C$7,$J26)+N($F27)-N($G27))</f>
        <v>4106.3</v>
      </c>
    </row>
    <row r="28" customFormat="false" ht="18.75" hidden="false" customHeight="true" outlineLevel="0" collapsed="false">
      <c r="A28" s="16" t="n">
        <v>46042</v>
      </c>
      <c r="B28" s="17" t="s">
        <v>69</v>
      </c>
      <c r="C28" s="18" t="s">
        <v>34</v>
      </c>
      <c r="D28" s="18" t="s">
        <v>35</v>
      </c>
      <c r="E28" s="19" t="n">
        <v>0</v>
      </c>
      <c r="F28" s="20"/>
      <c r="G28" s="20" t="n">
        <v>3310</v>
      </c>
      <c r="H28" s="20" t="n">
        <f aca="false">IF($E28="","",IFERROR(($F28+$G28)*$E28/(1+$E28),0))</f>
        <v>0</v>
      </c>
      <c r="I28" s="20" t="n">
        <f aca="false">IF(AND($F28="",$G28=""),"",($F28+$G28)-$H28)</f>
        <v>3310</v>
      </c>
      <c r="J28" s="20" t="n">
        <f aca="false">IF(AND($F28="",$G28=""),"",IF(N($J27)=0,Einstellungen!$C$7,$J27)+N($F28)-N($G28))</f>
        <v>796.300000000001</v>
      </c>
    </row>
    <row r="29" customFormat="false" ht="18.75" hidden="false" customHeight="true" outlineLevel="0" collapsed="false">
      <c r="A29" s="11" t="n">
        <v>46043</v>
      </c>
      <c r="B29" s="12" t="s">
        <v>70</v>
      </c>
      <c r="C29" s="13" t="s">
        <v>71</v>
      </c>
      <c r="D29" s="13" t="s">
        <v>16</v>
      </c>
      <c r="E29" s="14" t="n">
        <v>0.19</v>
      </c>
      <c r="F29" s="15" t="n">
        <v>1125</v>
      </c>
      <c r="G29" s="15"/>
      <c r="H29" s="15" t="n">
        <f aca="false">IF($E29="","",IFERROR(($F29+$G29)*$E29/(1+$E29),0))</f>
        <v>179.621848739496</v>
      </c>
      <c r="I29" s="15" t="n">
        <f aca="false">IF(AND($F29="",$G29=""),"",($F29+$G29)-$H29)</f>
        <v>945.378151260504</v>
      </c>
      <c r="J29" s="15" t="n">
        <f aca="false">IF(AND($F29="",$G29=""),"",IF(N($J28)=0,Einstellungen!$C$7,$J28)+N($F29)-N($G29))</f>
        <v>1921.3</v>
      </c>
    </row>
    <row r="30" customFormat="false" ht="18.75" hidden="false" customHeight="true" outlineLevel="0" collapsed="false">
      <c r="A30" s="16" t="n">
        <v>46044</v>
      </c>
      <c r="B30" s="17" t="s">
        <v>72</v>
      </c>
      <c r="C30" s="18" t="s">
        <v>73</v>
      </c>
      <c r="D30" s="18" t="s">
        <v>19</v>
      </c>
      <c r="E30" s="19" t="n">
        <v>0.07</v>
      </c>
      <c r="F30" s="20"/>
      <c r="G30" s="20" t="n">
        <v>96.75</v>
      </c>
      <c r="H30" s="20" t="n">
        <f aca="false">IF($E30="","",IFERROR(($F30+$G30)*$E30/(1+$E30),0))</f>
        <v>6.32943925233645</v>
      </c>
      <c r="I30" s="20" t="n">
        <f aca="false">IF(AND($F30="",$G30=""),"",($F30+$G30)-$H30)</f>
        <v>90.4205607476636</v>
      </c>
      <c r="J30" s="20" t="n">
        <f aca="false">IF(AND($F30="",$G30=""),"",IF(N($J29)=0,Einstellungen!$C$7,$J29)+N($F30)-N($G30))</f>
        <v>1824.55</v>
      </c>
    </row>
    <row r="31" customFormat="false" ht="18.75" hidden="false" customHeight="true" outlineLevel="0" collapsed="false">
      <c r="A31" s="11" t="n">
        <v>46045</v>
      </c>
      <c r="B31" s="12" t="s">
        <v>74</v>
      </c>
      <c r="C31" s="13" t="s">
        <v>75</v>
      </c>
      <c r="D31" s="13" t="s">
        <v>16</v>
      </c>
      <c r="E31" s="14" t="n">
        <v>0.19</v>
      </c>
      <c r="F31" s="15" t="n">
        <v>1580.45</v>
      </c>
      <c r="G31" s="15"/>
      <c r="H31" s="15" t="n">
        <f aca="false">IF($E31="","",IFERROR(($F31+$G31)*$E31/(1+$E31),0))</f>
        <v>252.340756302521</v>
      </c>
      <c r="I31" s="15" t="n">
        <f aca="false">IF(AND($F31="",$G31=""),"",($F31+$G31)-$H31)</f>
        <v>1328.10924369748</v>
      </c>
      <c r="J31" s="15" t="n">
        <f aca="false">IF(AND($F31="",$G31=""),"",IF(N($J30)=0,Einstellungen!$C$7,$J30)+N($F31)-N($G31))</f>
        <v>3405</v>
      </c>
    </row>
    <row r="32" customFormat="false" ht="18.75" hidden="false" customHeight="true" outlineLevel="0" collapsed="false">
      <c r="A32" s="16" t="n">
        <v>46046</v>
      </c>
      <c r="B32" s="17" t="s">
        <v>76</v>
      </c>
      <c r="C32" s="18" t="s">
        <v>77</v>
      </c>
      <c r="D32" s="18" t="s">
        <v>29</v>
      </c>
      <c r="E32" s="19" t="n">
        <v>0.19</v>
      </c>
      <c r="F32" s="20"/>
      <c r="G32" s="20" t="n">
        <v>120</v>
      </c>
      <c r="H32" s="20" t="n">
        <f aca="false">IF($E32="","",IFERROR(($F32+$G32)*$E32/(1+$E32),0))</f>
        <v>19.1596638655462</v>
      </c>
      <c r="I32" s="20" t="n">
        <f aca="false">IF(AND($F32="",$G32=""),"",($F32+$G32)-$H32)</f>
        <v>100.840336134454</v>
      </c>
      <c r="J32" s="20" t="n">
        <f aca="false">IF(AND($F32="",$G32=""),"",IF(N($J31)=0,Einstellungen!$C$7,$J31)+N($F32)-N($G32))</f>
        <v>3285</v>
      </c>
    </row>
    <row r="33" customFormat="false" ht="18.75" hidden="false" customHeight="true" outlineLevel="0" collapsed="false">
      <c r="A33" s="11" t="n">
        <v>46047</v>
      </c>
      <c r="B33" s="12" t="s">
        <v>78</v>
      </c>
      <c r="C33" s="13" t="s">
        <v>79</v>
      </c>
      <c r="D33" s="13" t="s">
        <v>16</v>
      </c>
      <c r="E33" s="14" t="n">
        <v>0.19</v>
      </c>
      <c r="F33" s="15" t="n">
        <v>1960.8</v>
      </c>
      <c r="G33" s="15"/>
      <c r="H33" s="15" t="n">
        <f aca="false">IF($E33="","",IFERROR(($F33+$G33)*$E33/(1+$E33),0))</f>
        <v>313.068907563025</v>
      </c>
      <c r="I33" s="15" t="n">
        <f aca="false">IF(AND($F33="",$G33=""),"",($F33+$G33)-$H33)</f>
        <v>1647.73109243697</v>
      </c>
      <c r="J33" s="15" t="n">
        <f aca="false">IF(AND($F33="",$G33=""),"",IF(N($J32)=0,Einstellungen!$C$7,$J32)+N($F33)-N($G33))</f>
        <v>5245.8</v>
      </c>
    </row>
    <row r="34" customFormat="false" ht="18.75" hidden="false" customHeight="true" outlineLevel="0" collapsed="false">
      <c r="A34" s="16" t="n">
        <v>46049</v>
      </c>
      <c r="B34" s="17" t="s">
        <v>80</v>
      </c>
      <c r="C34" s="18" t="s">
        <v>24</v>
      </c>
      <c r="D34" s="18" t="s">
        <v>24</v>
      </c>
      <c r="E34" s="19" t="n">
        <v>0.19</v>
      </c>
      <c r="F34" s="20"/>
      <c r="G34" s="20" t="n">
        <v>205.3</v>
      </c>
      <c r="H34" s="20" t="n">
        <f aca="false">IF($E34="","",IFERROR(($F34+$G34)*$E34/(1+$E34),0))</f>
        <v>32.7789915966387</v>
      </c>
      <c r="I34" s="20" t="n">
        <f aca="false">IF(AND($F34="",$G34=""),"",($F34+$G34)-$H34)</f>
        <v>172.521008403361</v>
      </c>
      <c r="J34" s="20" t="n">
        <f aca="false">IF(AND($F34="",$G34=""),"",IF(N($J33)=0,Einstellungen!$C$7,$J33)+N($F34)-N($G34))</f>
        <v>5040.5</v>
      </c>
    </row>
    <row r="35" customFormat="false" ht="18.75" hidden="false" customHeight="true" outlineLevel="0" collapsed="false">
      <c r="A35" s="11" t="n">
        <v>46049</v>
      </c>
      <c r="B35" s="12" t="s">
        <v>81</v>
      </c>
      <c r="C35" s="13" t="s">
        <v>34</v>
      </c>
      <c r="D35" s="13" t="s">
        <v>35</v>
      </c>
      <c r="E35" s="14" t="n">
        <v>0</v>
      </c>
      <c r="F35" s="15"/>
      <c r="G35" s="15" t="n">
        <v>4240</v>
      </c>
      <c r="H35" s="15" t="n">
        <f aca="false">IF($E35="","",IFERROR(($F35+$G35)*$E35/(1+$E35),0))</f>
        <v>0</v>
      </c>
      <c r="I35" s="15" t="n">
        <f aca="false">IF(AND($F35="",$G35=""),"",($F35+$G35)-$H35)</f>
        <v>4240</v>
      </c>
      <c r="J35" s="15" t="n">
        <f aca="false">IF(AND($F35="",$G35=""),"",IF(N($J34)=0,Einstellungen!$C$7,$J34)+N($F35)-N($G35))</f>
        <v>800.500000000001</v>
      </c>
    </row>
    <row r="36" customFormat="false" ht="18.75" hidden="false" customHeight="true" outlineLevel="0" collapsed="false">
      <c r="A36" s="16" t="n">
        <v>46050</v>
      </c>
      <c r="B36" s="17" t="s">
        <v>82</v>
      </c>
      <c r="C36" s="18" t="s">
        <v>83</v>
      </c>
      <c r="D36" s="18" t="s">
        <v>16</v>
      </c>
      <c r="E36" s="19" t="n">
        <v>0.19</v>
      </c>
      <c r="F36" s="20" t="n">
        <v>1345.2</v>
      </c>
      <c r="G36" s="20"/>
      <c r="H36" s="20" t="n">
        <f aca="false">IF($E36="","",IFERROR(($F36+$G36)*$E36/(1+$E36),0))</f>
        <v>214.779831932773</v>
      </c>
      <c r="I36" s="20" t="n">
        <f aca="false">IF(AND($F36="",$G36=""),"",($F36+$G36)-$H36)</f>
        <v>1130.42016806723</v>
      </c>
      <c r="J36" s="20" t="n">
        <f aca="false">IF(AND($F36="",$G36=""),"",IF(N($J35)=0,Einstellungen!$C$7,$J35)+N($F36)-N($G36))</f>
        <v>2145.7</v>
      </c>
    </row>
    <row r="37" customFormat="false" ht="18.75" hidden="false" customHeight="true" outlineLevel="0" collapsed="false">
      <c r="A37" s="11" t="n">
        <v>46051</v>
      </c>
      <c r="B37" s="12" t="s">
        <v>84</v>
      </c>
      <c r="C37" s="13" t="s">
        <v>85</v>
      </c>
      <c r="D37" s="13" t="s">
        <v>40</v>
      </c>
      <c r="E37" s="14" t="n">
        <v>0</v>
      </c>
      <c r="F37" s="15"/>
      <c r="G37" s="15" t="n">
        <v>180</v>
      </c>
      <c r="H37" s="15" t="n">
        <f aca="false">IF($E37="","",IFERROR(($F37+$G37)*$E37/(1+$E37),0))</f>
        <v>0</v>
      </c>
      <c r="I37" s="15" t="n">
        <f aca="false">IF(AND($F37="",$G37=""),"",($F37+$G37)-$H37)</f>
        <v>180</v>
      </c>
      <c r="J37" s="15" t="n">
        <f aca="false">IF(AND($F37="",$G37=""),"",IF(N($J36)=0,Einstellungen!$C$7,$J36)+N($F37)-N($G37))</f>
        <v>1965.7</v>
      </c>
    </row>
    <row r="38" customFormat="false" ht="18.75" hidden="false" customHeight="true" outlineLevel="0" collapsed="false">
      <c r="A38" s="16" t="n">
        <v>46052</v>
      </c>
      <c r="B38" s="17" t="s">
        <v>86</v>
      </c>
      <c r="C38" s="18" t="s">
        <v>87</v>
      </c>
      <c r="D38" s="18" t="s">
        <v>16</v>
      </c>
      <c r="E38" s="19" t="n">
        <v>0.19</v>
      </c>
      <c r="F38" s="20" t="n">
        <v>2130</v>
      </c>
      <c r="G38" s="20"/>
      <c r="H38" s="20" t="n">
        <f aca="false">IF($E38="","",IFERROR(($F38+$G38)*$E38/(1+$E38),0))</f>
        <v>340.084033613445</v>
      </c>
      <c r="I38" s="20" t="n">
        <f aca="false">IF(AND($F38="",$G38=""),"",($F38+$G38)-$H38)</f>
        <v>1789.91596638655</v>
      </c>
      <c r="J38" s="20" t="n">
        <f aca="false">IF(AND($F38="",$G38=""),"",IF(N($J37)=0,Einstellungen!$C$7,$J37)+N($F38)-N($G38))</f>
        <v>4095.7</v>
      </c>
    </row>
    <row r="39" customFormat="false" ht="18.75" hidden="false" customHeight="true" outlineLevel="0" collapsed="false">
      <c r="A39" s="11"/>
      <c r="B39" s="12"/>
      <c r="C39" s="13"/>
      <c r="D39" s="13"/>
      <c r="E39" s="14"/>
      <c r="F39" s="15"/>
      <c r="G39" s="15"/>
      <c r="H39" s="15" t="str">
        <f aca="false">IF($E39="","",IFERROR(($F39+$G39)*$E39/(1+$E39),0))</f>
        <v/>
      </c>
      <c r="I39" s="15" t="str">
        <f aca="false">IF(AND($F39="",$G39=""),"",($F39+$G39)-$H39)</f>
        <v/>
      </c>
      <c r="J39" s="15" t="str">
        <f aca="false">IF(AND($F39="",$G39=""),"",IF(N($J38)=0,Einstellungen!$C$7,$J38)+N($F39)-N($G39))</f>
        <v/>
      </c>
    </row>
    <row r="40" customFormat="false" ht="18.75" hidden="false" customHeight="true" outlineLevel="0" collapsed="false">
      <c r="A40" s="16"/>
      <c r="B40" s="17"/>
      <c r="C40" s="18"/>
      <c r="D40" s="18"/>
      <c r="E40" s="19"/>
      <c r="F40" s="20"/>
      <c r="G40" s="20"/>
      <c r="H40" s="20" t="str">
        <f aca="false">IF($E40="","",IFERROR(($F40+$G40)*$E40/(1+$E40),0))</f>
        <v/>
      </c>
      <c r="I40" s="20" t="str">
        <f aca="false">IF(AND($F40="",$G40=""),"",($F40+$G40)-$H40)</f>
        <v/>
      </c>
      <c r="J40" s="20" t="str">
        <f aca="false">IF(AND($F40="",$G40=""),"",IF(N($J39)=0,Einstellungen!$C$7,$J39)+N($F40)-N($G40))</f>
        <v/>
      </c>
    </row>
    <row r="41" customFormat="false" ht="18.75" hidden="false" customHeight="true" outlineLevel="0" collapsed="false">
      <c r="A41" s="11"/>
      <c r="B41" s="12"/>
      <c r="C41" s="13"/>
      <c r="D41" s="13"/>
      <c r="E41" s="14"/>
      <c r="F41" s="15"/>
      <c r="G41" s="15"/>
      <c r="H41" s="15" t="str">
        <f aca="false">IF($E41="","",IFERROR(($F41+$G41)*$E41/(1+$E41),0))</f>
        <v/>
      </c>
      <c r="I41" s="15" t="str">
        <f aca="false">IF(AND($F41="",$G41=""),"",($F41+$G41)-$H41)</f>
        <v/>
      </c>
      <c r="J41" s="15" t="str">
        <f aca="false">IF(AND($F41="",$G41=""),"",IF(N($J40)=0,Einstellungen!$C$7,$J40)+N($F41)-N($G41))</f>
        <v/>
      </c>
    </row>
    <row r="42" customFormat="false" ht="18.75" hidden="false" customHeight="true" outlineLevel="0" collapsed="false">
      <c r="A42" s="16"/>
      <c r="B42" s="17"/>
      <c r="C42" s="18"/>
      <c r="D42" s="18"/>
      <c r="E42" s="19"/>
      <c r="F42" s="20"/>
      <c r="G42" s="20"/>
      <c r="H42" s="20" t="str">
        <f aca="false">IF($E42="","",IFERROR(($F42+$G42)*$E42/(1+$E42),0))</f>
        <v/>
      </c>
      <c r="I42" s="20" t="str">
        <f aca="false">IF(AND($F42="",$G42=""),"",($F42+$G42)-$H42)</f>
        <v/>
      </c>
      <c r="J42" s="20" t="str">
        <f aca="false">IF(AND($F42="",$G42=""),"",IF(N($J41)=0,Einstellungen!$C$7,$J41)+N($F42)-N($G42))</f>
        <v/>
      </c>
    </row>
    <row r="43" customFormat="false" ht="18.75" hidden="false" customHeight="true" outlineLevel="0" collapsed="false">
      <c r="A43" s="11"/>
      <c r="B43" s="12"/>
      <c r="C43" s="13"/>
      <c r="D43" s="13"/>
      <c r="E43" s="14"/>
      <c r="F43" s="15"/>
      <c r="G43" s="15"/>
      <c r="H43" s="15" t="str">
        <f aca="false">IF($E43="","",IFERROR(($F43+$G43)*$E43/(1+$E43),0))</f>
        <v/>
      </c>
      <c r="I43" s="15" t="str">
        <f aca="false">IF(AND($F43="",$G43=""),"",($F43+$G43)-$H43)</f>
        <v/>
      </c>
      <c r="J43" s="15" t="str">
        <f aca="false">IF(AND($F43="",$G43=""),"",IF(N($J42)=0,Einstellungen!$C$7,$J42)+N($F43)-N($G43))</f>
        <v/>
      </c>
    </row>
    <row r="44" customFormat="false" ht="18.75" hidden="false" customHeight="true" outlineLevel="0" collapsed="false">
      <c r="A44" s="16"/>
      <c r="B44" s="17"/>
      <c r="C44" s="18"/>
      <c r="D44" s="18"/>
      <c r="E44" s="19"/>
      <c r="F44" s="20"/>
      <c r="G44" s="20"/>
      <c r="H44" s="20" t="str">
        <f aca="false">IF($E44="","",IFERROR(($F44+$G44)*$E44/(1+$E44),0))</f>
        <v/>
      </c>
      <c r="I44" s="20" t="str">
        <f aca="false">IF(AND($F44="",$G44=""),"",($F44+$G44)-$H44)</f>
        <v/>
      </c>
      <c r="J44" s="20" t="str">
        <f aca="false">IF(AND($F44="",$G44=""),"",IF(N($J43)=0,Einstellungen!$C$7,$J43)+N($F44)-N($G44))</f>
        <v/>
      </c>
    </row>
    <row r="45" customFormat="false" ht="18.75" hidden="false" customHeight="true" outlineLevel="0" collapsed="false">
      <c r="A45" s="11"/>
      <c r="B45" s="12"/>
      <c r="C45" s="13"/>
      <c r="D45" s="13"/>
      <c r="E45" s="14"/>
      <c r="F45" s="15"/>
      <c r="G45" s="15"/>
      <c r="H45" s="15" t="str">
        <f aca="false">IF($E45="","",IFERROR(($F45+$G45)*$E45/(1+$E45),0))</f>
        <v/>
      </c>
      <c r="I45" s="15" t="str">
        <f aca="false">IF(AND($F45="",$G45=""),"",($F45+$G45)-$H45)</f>
        <v/>
      </c>
      <c r="J45" s="15" t="str">
        <f aca="false">IF(AND($F45="",$G45=""),"",IF(N($J44)=0,Einstellungen!$C$7,$J44)+N($F45)-N($G45))</f>
        <v/>
      </c>
    </row>
    <row r="46" customFormat="false" ht="18.75" hidden="false" customHeight="true" outlineLevel="0" collapsed="false">
      <c r="A46" s="16"/>
      <c r="B46" s="17"/>
      <c r="C46" s="18"/>
      <c r="D46" s="18"/>
      <c r="E46" s="19"/>
      <c r="F46" s="20"/>
      <c r="G46" s="20"/>
      <c r="H46" s="20" t="str">
        <f aca="false">IF($E46="","",IFERROR(($F46+$G46)*$E46/(1+$E46),0))</f>
        <v/>
      </c>
      <c r="I46" s="20" t="str">
        <f aca="false">IF(AND($F46="",$G46=""),"",($F46+$G46)-$H46)</f>
        <v/>
      </c>
      <c r="J46" s="20" t="str">
        <f aca="false">IF(AND($F46="",$G46=""),"",IF(N($J45)=0,Einstellungen!$C$7,$J45)+N($F46)-N($G46))</f>
        <v/>
      </c>
    </row>
    <row r="47" customFormat="false" ht="18.75" hidden="false" customHeight="true" outlineLevel="0" collapsed="false">
      <c r="A47" s="11"/>
      <c r="B47" s="12"/>
      <c r="C47" s="13"/>
      <c r="D47" s="13"/>
      <c r="E47" s="14"/>
      <c r="F47" s="15"/>
      <c r="G47" s="15"/>
      <c r="H47" s="15" t="str">
        <f aca="false">IF($E47="","",IFERROR(($F47+$G47)*$E47/(1+$E47),0))</f>
        <v/>
      </c>
      <c r="I47" s="15" t="str">
        <f aca="false">IF(AND($F47="",$G47=""),"",($F47+$G47)-$H47)</f>
        <v/>
      </c>
      <c r="J47" s="15" t="str">
        <f aca="false">IF(AND($F47="",$G47=""),"",IF(N($J46)=0,Einstellungen!$C$7,$J46)+N($F47)-N($G47))</f>
        <v/>
      </c>
    </row>
    <row r="48" customFormat="false" ht="18.75" hidden="false" customHeight="true" outlineLevel="0" collapsed="false">
      <c r="A48" s="16"/>
      <c r="B48" s="17"/>
      <c r="C48" s="18"/>
      <c r="D48" s="18"/>
      <c r="E48" s="19"/>
      <c r="F48" s="20"/>
      <c r="G48" s="20"/>
      <c r="H48" s="20" t="str">
        <f aca="false">IF($E48="","",IFERROR(($F48+$G48)*$E48/(1+$E48),0))</f>
        <v/>
      </c>
      <c r="I48" s="20" t="str">
        <f aca="false">IF(AND($F48="",$G48=""),"",($F48+$G48)-$H48)</f>
        <v/>
      </c>
      <c r="J48" s="20" t="str">
        <f aca="false">IF(AND($F48="",$G48=""),"",IF(N($J47)=0,Einstellungen!$C$7,$J47)+N($F48)-N($G48))</f>
        <v/>
      </c>
    </row>
    <row r="49" customFormat="false" ht="18.75" hidden="false" customHeight="true" outlineLevel="0" collapsed="false">
      <c r="A49" s="11"/>
      <c r="B49" s="12"/>
      <c r="C49" s="13"/>
      <c r="D49" s="13"/>
      <c r="E49" s="14"/>
      <c r="F49" s="15"/>
      <c r="G49" s="15"/>
      <c r="H49" s="15" t="str">
        <f aca="false">IF($E49="","",IFERROR(($F49+$G49)*$E49/(1+$E49),0))</f>
        <v/>
      </c>
      <c r="I49" s="15" t="str">
        <f aca="false">IF(AND($F49="",$G49=""),"",($F49+$G49)-$H49)</f>
        <v/>
      </c>
      <c r="J49" s="15" t="str">
        <f aca="false">IF(AND($F49="",$G49=""),"",IF(N($J48)=0,Einstellungen!$C$7,$J48)+N($F49)-N($G49))</f>
        <v/>
      </c>
    </row>
    <row r="50" customFormat="false" ht="18.75" hidden="false" customHeight="true" outlineLevel="0" collapsed="false">
      <c r="A50" s="16"/>
      <c r="B50" s="17"/>
      <c r="C50" s="18"/>
      <c r="D50" s="18"/>
      <c r="E50" s="19"/>
      <c r="F50" s="20"/>
      <c r="G50" s="20"/>
      <c r="H50" s="20" t="str">
        <f aca="false">IF($E50="","",IFERROR(($F50+$G50)*$E50/(1+$E50),0))</f>
        <v/>
      </c>
      <c r="I50" s="20" t="str">
        <f aca="false">IF(AND($F50="",$G50=""),"",($F50+$G50)-$H50)</f>
        <v/>
      </c>
      <c r="J50" s="20" t="str">
        <f aca="false">IF(AND($F50="",$G50=""),"",IF(N($J49)=0,Einstellungen!$C$7,$J49)+N($F50)-N($G50))</f>
        <v/>
      </c>
    </row>
    <row r="51" customFormat="false" ht="15" hidden="false" customHeight="false" outlineLevel="0" collapsed="false">
      <c r="A51" s="21"/>
      <c r="B51" s="21"/>
      <c r="C51" s="21"/>
      <c r="D51" s="21"/>
      <c r="E51" s="21"/>
      <c r="F51" s="21"/>
      <c r="G51" s="21"/>
      <c r="H51" s="21"/>
      <c r="I51" s="21"/>
      <c r="J51" s="21"/>
    </row>
    <row r="52" customFormat="false" ht="24" hidden="false" customHeight="true" outlineLevel="0" collapsed="false">
      <c r="A52" s="22" t="s">
        <v>88</v>
      </c>
      <c r="B52" s="22"/>
      <c r="C52" s="22"/>
      <c r="D52" s="22"/>
      <c r="E52" s="22"/>
      <c r="F52" s="23" t="n">
        <f aca="false">SUM(F5:F50)</f>
        <v>22195.2</v>
      </c>
      <c r="G52" s="23" t="n">
        <f aca="false">SUM(G5:G50)</f>
        <v>18449.5</v>
      </c>
      <c r="H52" s="23" t="n">
        <f aca="false">SUM(H5:H50)</f>
        <v>3677.03919736119</v>
      </c>
      <c r="I52" s="23" t="n">
        <f aca="false">SUM(I5:I50)</f>
        <v>36967.6608026388</v>
      </c>
      <c r="J52" s="23" t="n">
        <f aca="false">Einstellungen!$C$7+SUM(F5:F50)-SUM(G5:G50)</f>
        <v>4095.7</v>
      </c>
    </row>
    <row r="53" customFormat="false" ht="15" hidden="false" customHeight="false" outlineLevel="0" collapsed="false">
      <c r="A53" s="24" t="s">
        <v>89</v>
      </c>
      <c r="B53" s="24"/>
      <c r="C53" s="24"/>
      <c r="D53" s="24"/>
      <c r="E53" s="24"/>
      <c r="F53" s="24"/>
      <c r="G53" s="24"/>
      <c r="H53" s="24"/>
      <c r="I53" s="24"/>
      <c r="J53" s="24"/>
    </row>
    <row r="54" customFormat="false" ht="15" hidden="false" customHeight="false" outlineLevel="0" collapsed="false">
      <c r="A54" s="21"/>
      <c r="B54" s="21"/>
      <c r="C54" s="21"/>
      <c r="D54" s="21"/>
      <c r="E54" s="21"/>
      <c r="F54" s="21"/>
      <c r="G54" s="21"/>
      <c r="H54" s="21"/>
      <c r="I54" s="21"/>
      <c r="J54" s="21"/>
    </row>
    <row r="55" customFormat="false" ht="15" hidden="false" customHeight="false" outlineLevel="0" collapsed="false">
      <c r="A55" s="21"/>
      <c r="B55" s="21"/>
      <c r="C55" s="21"/>
      <c r="D55" s="21"/>
      <c r="E55" s="21"/>
      <c r="F55" s="21"/>
      <c r="G55" s="21"/>
      <c r="H55" s="21"/>
      <c r="I55" s="21"/>
      <c r="J55" s="21"/>
    </row>
  </sheetData>
  <mergeCells count="9">
    <mergeCell ref="C1:G1"/>
    <mergeCell ref="H1:J1"/>
    <mergeCell ref="A2:J2"/>
    <mergeCell ref="A3:B3"/>
    <mergeCell ref="C3:E3"/>
    <mergeCell ref="F3:H3"/>
    <mergeCell ref="I3:J3"/>
    <mergeCell ref="A52:E52"/>
    <mergeCell ref="A53:J53"/>
  </mergeCells>
  <conditionalFormatting sqref="F5:F50">
    <cfRule type="expression" priority="2" aboveAverage="0" equalAverage="0" bottom="0" percent="0" rank="0" text="" dxfId="0">
      <formula>$F5&gt;0</formula>
    </cfRule>
  </conditionalFormatting>
  <conditionalFormatting sqref="G5:G50">
    <cfRule type="expression" priority="3" aboveAverage="0" equalAverage="0" bottom="0" percent="0" rank="0" text="" dxfId="1">
      <formula>$G5&gt;0</formula>
    </cfRule>
  </conditionalFormatting>
  <conditionalFormatting sqref="J5:J50">
    <cfRule type="expression" priority="4" aboveAverage="0" equalAverage="0" bottom="0" percent="0" rank="0" text="" dxfId="2">
      <formula>AND($J5&lt;&gt;"",$J5&lt;0)</formula>
    </cfRule>
  </conditionalFormatting>
  <conditionalFormatting sqref="A5:A50">
    <cfRule type="expression" priority="5" aboveAverage="0" equalAverage="0" bottom="0" percent="0" rank="0" text="" dxfId="3">
      <formula>$C5&lt;&gt;""</formula>
    </cfRule>
  </conditionalFormatting>
  <dataValidations count="2">
    <dataValidation allowBlank="true" errorStyle="stop" operator="between" showDropDown="false" showErrorMessage="false" showInputMessage="false" sqref="D5:D50" type="list">
      <formula1>Einstellungen!$B$10:$B$21</formula1>
      <formula2>0</formula2>
    </dataValidation>
    <dataValidation allowBlank="true" errorStyle="stop" operator="between" showDropDown="false" showErrorMessage="false" showInputMessage="false" sqref="E5:E50" type="list">
      <formula1>"0.19,0.07,0"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A3E47"/>
    <pageSetUpPr fitToPage="true"/>
  </sheetPr>
  <dimension ref="A1:P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2"/>
    <col collapsed="false" customWidth="true" hidden="false" outlineLevel="0" max="5" min="5" style="0" width="22"/>
    <col collapsed="false" customWidth="true" hidden="false" outlineLevel="0" max="6" min="6" style="0" width="14"/>
    <col collapsed="false" customWidth="true" hidden="false" outlineLevel="0" max="7" min="7" style="0" width="2"/>
    <col collapsed="false" customWidth="true" hidden="false" outlineLevel="0" max="8" min="8" style="0" width="20"/>
    <col collapsed="false" customWidth="true" hidden="false" outlineLevel="0" max="9" min="9" style="0" width="12"/>
    <col collapsed="false" customWidth="true" hidden="false" outlineLevel="0" max="10" min="10" style="0" width="2.2"/>
    <col collapsed="false" customWidth="true" hidden="false" outlineLevel="0" max="16" min="15" style="0" width="11"/>
  </cols>
  <sheetData>
    <row r="1" customFormat="false" ht="43.5" hidden="false" customHeight="true" outlineLevel="0" collapsed="false">
      <c r="A1" s="1"/>
      <c r="B1" s="2" t="s">
        <v>0</v>
      </c>
      <c r="C1" s="3" t="s">
        <v>90</v>
      </c>
      <c r="D1" s="3"/>
      <c r="E1" s="3"/>
      <c r="F1" s="3"/>
      <c r="G1" s="3"/>
      <c r="H1" s="4" t="s">
        <v>2</v>
      </c>
      <c r="I1" s="4"/>
      <c r="J1" s="4"/>
      <c r="K1" s="21"/>
      <c r="L1" s="21"/>
      <c r="M1" s="21"/>
      <c r="N1" s="21"/>
      <c r="O1" s="21"/>
      <c r="P1" s="21"/>
    </row>
    <row r="2" customFormat="false" ht="18" hidden="false" customHeight="true" outlineLevel="0" collapsed="false">
      <c r="A2" s="5" t="s">
        <v>91</v>
      </c>
      <c r="B2" s="5"/>
      <c r="C2" s="5"/>
      <c r="D2" s="5"/>
      <c r="E2" s="5"/>
      <c r="F2" s="5"/>
      <c r="G2" s="5"/>
      <c r="H2" s="5"/>
      <c r="I2" s="5"/>
      <c r="J2" s="5"/>
      <c r="K2" s="21"/>
      <c r="L2" s="21"/>
      <c r="M2" s="21"/>
      <c r="N2" s="21"/>
      <c r="O2" s="21"/>
      <c r="P2" s="21"/>
    </row>
    <row r="3" customFormat="false" ht="15" hidden="false" customHeight="false" outlineLevel="0" collapsed="false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customFormat="false" ht="15.75" hidden="false" customHeight="true" outlineLevel="0" collapsed="false">
      <c r="A4" s="21"/>
      <c r="B4" s="25" t="s">
        <v>92</v>
      </c>
      <c r="C4" s="25"/>
      <c r="D4" s="21"/>
      <c r="E4" s="26" t="s">
        <v>93</v>
      </c>
      <c r="F4" s="26"/>
      <c r="G4" s="21"/>
      <c r="H4" s="27" t="s">
        <v>94</v>
      </c>
      <c r="I4" s="27"/>
      <c r="J4" s="21"/>
      <c r="K4" s="21"/>
      <c r="L4" s="21"/>
      <c r="M4" s="21"/>
      <c r="N4" s="21"/>
      <c r="O4" s="21"/>
      <c r="P4" s="21"/>
    </row>
    <row r="5" customFormat="false" ht="30" hidden="false" customHeight="true" outlineLevel="0" collapsed="false">
      <c r="A5" s="21"/>
      <c r="B5" s="28" t="n">
        <f aca="false">Einstellungen!$C$7</f>
        <v>350</v>
      </c>
      <c r="C5" s="28"/>
      <c r="D5" s="21"/>
      <c r="E5" s="29" t="n">
        <f aca="false">SUM(Kassenbuch!$F$5:$F$50)</f>
        <v>22195.2</v>
      </c>
      <c r="F5" s="29"/>
      <c r="G5" s="21"/>
      <c r="H5" s="30" t="n">
        <f aca="false">SUM(Kassenbuch!$G$5:$G$50)</f>
        <v>18449.5</v>
      </c>
      <c r="I5" s="30"/>
      <c r="J5" s="21"/>
      <c r="K5" s="21"/>
      <c r="L5" s="21"/>
      <c r="M5" s="21"/>
      <c r="N5" s="21"/>
      <c r="O5" s="21"/>
      <c r="P5" s="21"/>
    </row>
    <row r="6" customFormat="false" ht="6" hidden="false" customHeight="true" outlineLevel="0" collapsed="false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customFormat="false" ht="15.75" hidden="false" customHeight="true" outlineLevel="0" collapsed="false">
      <c r="A7" s="21"/>
      <c r="B7" s="31" t="s">
        <v>95</v>
      </c>
      <c r="C7" s="31"/>
      <c r="D7" s="21"/>
      <c r="E7" s="32" t="s">
        <v>96</v>
      </c>
      <c r="F7" s="32"/>
      <c r="G7" s="21"/>
      <c r="H7" s="25" t="s">
        <v>97</v>
      </c>
      <c r="I7" s="25"/>
      <c r="J7" s="21"/>
      <c r="K7" s="21"/>
      <c r="L7" s="21"/>
      <c r="M7" s="21"/>
      <c r="N7" s="21"/>
      <c r="O7" s="21"/>
      <c r="P7" s="21"/>
    </row>
    <row r="8" customFormat="false" ht="30" hidden="false" customHeight="true" outlineLevel="0" collapsed="false">
      <c r="A8" s="21"/>
      <c r="B8" s="33" t="n">
        <f aca="false">Einstellungen!$C$7+SUM(Kassenbuch!$F$5:$F$50)-SUM(Kassenbuch!$G$5:$G$50)</f>
        <v>4095.7</v>
      </c>
      <c r="C8" s="33"/>
      <c r="D8" s="21"/>
      <c r="E8" s="34" t="n">
        <f aca="false">SUMIFS(Kassenbuch!$H$5:$H$50,Kassenbuch!$F$5:$F$50,"&gt;0")</f>
        <v>3453.56134453782</v>
      </c>
      <c r="F8" s="34"/>
      <c r="G8" s="21"/>
      <c r="H8" s="28" t="n">
        <f aca="false">(SUM(Kassenbuch!$F$5:$F$50)-SUM(Kassenbuch!$G$5:$G$50))</f>
        <v>3745.7</v>
      </c>
      <c r="I8" s="28"/>
      <c r="J8" s="21"/>
      <c r="K8" s="21"/>
      <c r="L8" s="21"/>
      <c r="M8" s="21"/>
      <c r="N8" s="21"/>
      <c r="O8" s="21"/>
      <c r="P8" s="21"/>
    </row>
    <row r="9" customFormat="false" ht="9.75" hidden="false" customHeight="true" outlineLevel="0" collapsed="false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customFormat="false" ht="15" hidden="false" customHeight="false" outlineLevel="0" collapsed="false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customFormat="false" ht="15" hidden="false" customHeight="false" outlineLevel="0" collapsed="false">
      <c r="A11" s="21"/>
      <c r="B11" s="35" t="s">
        <v>98</v>
      </c>
      <c r="C11" s="35"/>
      <c r="D11" s="21"/>
      <c r="E11" s="36" t="s">
        <v>99</v>
      </c>
      <c r="F11" s="36"/>
      <c r="G11" s="21"/>
      <c r="H11" s="37" t="s">
        <v>100</v>
      </c>
      <c r="I11" s="37"/>
      <c r="J11" s="21"/>
      <c r="K11" s="21"/>
      <c r="L11" s="21"/>
      <c r="M11" s="21"/>
      <c r="N11" s="21"/>
      <c r="O11" s="21"/>
      <c r="P11" s="21"/>
    </row>
    <row r="12" customFormat="false" ht="15" hidden="false" customHeight="false" outlineLevel="0" collapsed="false">
      <c r="A12" s="21"/>
      <c r="B12" s="38" t="s">
        <v>7</v>
      </c>
      <c r="C12" s="39" t="s">
        <v>101</v>
      </c>
      <c r="D12" s="21"/>
      <c r="E12" s="38" t="s">
        <v>7</v>
      </c>
      <c r="F12" s="39" t="s">
        <v>101</v>
      </c>
      <c r="G12" s="21"/>
      <c r="H12" s="38" t="s">
        <v>102</v>
      </c>
      <c r="I12" s="39" t="s">
        <v>11</v>
      </c>
      <c r="J12" s="21"/>
      <c r="K12" s="21"/>
      <c r="L12" s="21"/>
      <c r="M12" s="21"/>
      <c r="N12" s="21"/>
      <c r="O12" s="21"/>
      <c r="P12" s="21"/>
    </row>
    <row r="13" customFormat="false" ht="15" hidden="false" customHeight="false" outlineLevel="0" collapsed="false">
      <c r="A13" s="21"/>
      <c r="B13" s="40" t="s">
        <v>19</v>
      </c>
      <c r="C13" s="41" t="n">
        <f aca="false">SUMIF(Kassenbuch!$D$5:$D$50,$B13,Kassenbuch!$G$5:$G$50)</f>
        <v>507.95</v>
      </c>
      <c r="D13" s="21"/>
      <c r="E13" s="40" t="s">
        <v>16</v>
      </c>
      <c r="F13" s="41" t="n">
        <f aca="false">SUMIF(Kassenbuch!$D$5:$D$50,$E13,Kassenbuch!$F$5:$F$50)</f>
        <v>21630.2</v>
      </c>
      <c r="G13" s="21"/>
      <c r="H13" s="40" t="s">
        <v>103</v>
      </c>
      <c r="I13" s="41" t="n">
        <f aca="false">SUMIF(Kassenbuch!$E$5:$E$50,0.19,Kassenbuch!$H$5:$H$50)</f>
        <v>3643.80882352941</v>
      </c>
      <c r="J13" s="21"/>
      <c r="K13" s="21"/>
      <c r="L13" s="21"/>
      <c r="M13" s="21"/>
      <c r="N13" s="21"/>
      <c r="O13" s="21"/>
      <c r="P13" s="21"/>
    </row>
    <row r="14" customFormat="false" ht="15" hidden="false" customHeight="false" outlineLevel="0" collapsed="false">
      <c r="A14" s="21"/>
      <c r="B14" s="40" t="s">
        <v>24</v>
      </c>
      <c r="C14" s="41" t="n">
        <f aca="false">SUMIF(Kassenbuch!$D$5:$D$50,$B14,Kassenbuch!$G$5:$G$50)</f>
        <v>800.15</v>
      </c>
      <c r="D14" s="21"/>
      <c r="E14" s="40" t="s">
        <v>49</v>
      </c>
      <c r="F14" s="41" t="n">
        <f aca="false">SUMIF(Kassenbuch!$D$5:$D$50,$E14,Kassenbuch!$F$5:$F$50)</f>
        <v>500</v>
      </c>
      <c r="G14" s="21"/>
      <c r="H14" s="40" t="s">
        <v>104</v>
      </c>
      <c r="I14" s="41" t="n">
        <f aca="false">SUMIF(Kassenbuch!$E$5:$E$50,0.07,Kassenbuch!$H$5:$H$50)</f>
        <v>33.2303738317757</v>
      </c>
      <c r="J14" s="21"/>
      <c r="K14" s="21"/>
      <c r="L14" s="21"/>
      <c r="M14" s="21"/>
      <c r="N14" s="21"/>
      <c r="O14" s="21"/>
      <c r="P14" s="21"/>
    </row>
    <row r="15" customFormat="false" ht="15" hidden="false" customHeight="false" outlineLevel="0" collapsed="false">
      <c r="A15" s="21"/>
      <c r="B15" s="40" t="s">
        <v>40</v>
      </c>
      <c r="C15" s="41" t="n">
        <f aca="false">SUMIF(Kassenbuch!$D$5:$D$50,$B15,Kassenbuch!$G$5:$G$50)</f>
        <v>390</v>
      </c>
      <c r="D15" s="21"/>
      <c r="E15" s="40" t="s">
        <v>32</v>
      </c>
      <c r="F15" s="41" t="n">
        <f aca="false">SUMIF(Kassenbuch!$D$5:$D$50,$E15,Kassenbuch!$F$5:$F$50)</f>
        <v>65</v>
      </c>
      <c r="G15" s="21"/>
      <c r="H15" s="40" t="s">
        <v>105</v>
      </c>
      <c r="I15" s="41" t="n">
        <f aca="false">SUMIF(Kassenbuch!$E$5:$E$50,0,Kassenbuch!$H$5:$H$50)</f>
        <v>0</v>
      </c>
      <c r="J15" s="21"/>
      <c r="K15" s="21"/>
      <c r="L15" s="21"/>
      <c r="M15" s="21"/>
      <c r="N15" s="21"/>
      <c r="O15" s="21"/>
      <c r="P15" s="21"/>
    </row>
    <row r="16" customFormat="false" ht="15" hidden="false" customHeight="false" outlineLevel="0" collapsed="false">
      <c r="A16" s="21"/>
      <c r="B16" s="40" t="s">
        <v>61</v>
      </c>
      <c r="C16" s="41" t="n">
        <f aca="false">SUMIF(Kassenbuch!$D$5:$D$50,$B16,Kassenbuch!$G$5:$G$50)</f>
        <v>950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customFormat="false" ht="15" hidden="false" customHeight="false" outlineLevel="0" collapsed="false">
      <c r="A17" s="21"/>
      <c r="B17" s="40" t="s">
        <v>29</v>
      </c>
      <c r="C17" s="41" t="n">
        <f aca="false">SUMIF(Kassenbuch!$D$5:$D$50,$B17,Kassenbuch!$G$5:$G$50)</f>
        <v>167.9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customFormat="false" ht="15" hidden="false" customHeight="false" outlineLevel="0" collapsed="false">
      <c r="A18" s="21"/>
      <c r="B18" s="40" t="s">
        <v>52</v>
      </c>
      <c r="C18" s="41" t="n">
        <f aca="false">SUMIF(Kassenbuch!$D$5:$D$50,$B18,Kassenbuch!$G$5:$G$50)</f>
        <v>189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customFormat="false" ht="15" hidden="false" customHeight="false" outlineLevel="0" collapsed="false">
      <c r="A19" s="21"/>
      <c r="B19" s="40" t="s">
        <v>58</v>
      </c>
      <c r="C19" s="41" t="n">
        <f aca="false">SUMIF(Kassenbuch!$D$5:$D$50,$B19,Kassenbuch!$G$5:$G$50)</f>
        <v>34.5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42" t="s">
        <v>106</v>
      </c>
      <c r="P19" s="43" t="n">
        <f aca="false">SUM(Kassenbuch!$F$5:$F$50)</f>
        <v>22195.2</v>
      </c>
    </row>
    <row r="20" customFormat="false" ht="15" hidden="false" customHeight="false" outlineLevel="0" collapsed="false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42" t="s">
        <v>107</v>
      </c>
      <c r="P20" s="43" t="n">
        <f aca="false">SUM(Kassenbuch!$G$5:$G$50)</f>
        <v>18449.5</v>
      </c>
    </row>
    <row r="21" customFormat="false" ht="15" hidden="false" customHeight="false" outlineLevel="0" collapsed="false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customFormat="false" ht="15" hidden="false" customHeight="false" outlineLevel="0" collapsed="false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customFormat="false" ht="15" hidden="false" customHeight="false" outlineLevel="0" collapsed="false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customFormat="false" ht="15" hidden="false" customHeight="false" outlineLevel="0" collapsed="false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customFormat="false" ht="15" hidden="false" customHeight="false" outlineLevel="0" collapsed="false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customFormat="false" ht="15" hidden="false" customHeight="false" outlineLevel="0" collapsed="false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customFormat="false" ht="15" hidden="false" customHeight="false" outlineLevel="0" collapsed="false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customFormat="false" ht="15" hidden="false" customHeight="false" outlineLevel="0" collapsed="false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customFormat="false" ht="15" hidden="false" customHeight="false" outlineLevel="0" collapsed="false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customFormat="false" ht="15" hidden="false" customHeight="false" outlineLevel="0" collapsed="false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customFormat="false" ht="15" hidden="false" customHeight="false" outlineLevel="0" collapsed="false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customFormat="false" ht="15" hidden="false" customHeight="false" outlineLevel="0" collapsed="false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customFormat="false" ht="15" hidden="false" customHeight="false" outlineLevel="0" collapsed="false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customFormat="false" ht="15" hidden="false" customHeight="false" outlineLevel="0" collapsed="false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customFormat="false" ht="15" hidden="false" customHeight="false" outlineLevel="0" collapsed="false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customFormat="false" ht="15" hidden="false" customHeight="false" outlineLevel="0" collapsed="false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customFormat="false" ht="15" hidden="false" customHeight="false" outlineLevel="0" collapsed="false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customFormat="false" ht="15" hidden="false" customHeight="false" outlineLevel="0" collapsed="false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customFormat="false" ht="15" hidden="false" customHeight="false" outlineLevel="0" collapsed="false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customFormat="false" ht="15" hidden="false" customHeight="false" outlineLevel="0" collapsed="false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</sheetData>
  <mergeCells count="18">
    <mergeCell ref="C1:G1"/>
    <mergeCell ref="H1:J1"/>
    <mergeCell ref="A2:J2"/>
    <mergeCell ref="B4:C4"/>
    <mergeCell ref="E4:F4"/>
    <mergeCell ref="H4:I4"/>
    <mergeCell ref="B5:C5"/>
    <mergeCell ref="E5:F5"/>
    <mergeCell ref="H5:I5"/>
    <mergeCell ref="B7:C7"/>
    <mergeCell ref="E7:F7"/>
    <mergeCell ref="H7:I7"/>
    <mergeCell ref="B8:C8"/>
    <mergeCell ref="E8:F8"/>
    <mergeCell ref="H8:I8"/>
    <mergeCell ref="B11:C11"/>
    <mergeCell ref="E11:F11"/>
    <mergeCell ref="H11:I11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08A2E"/>
    <pageSetUpPr fitToPage="true"/>
  </sheetPr>
  <dimension ref="A1:I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2"/>
    <col collapsed="false" customWidth="true" hidden="false" outlineLevel="0" max="3" min="3" style="0" width="10"/>
    <col collapsed="false" customWidth="true" hidden="true" outlineLevel="0" max="4" min="4" style="0" width="4"/>
    <col collapsed="false" customWidth="true" hidden="false" outlineLevel="0" max="5" min="5" style="0" width="14"/>
    <col collapsed="false" customWidth="true" hidden="false" outlineLevel="0" max="6" min="6" style="0" width="4"/>
    <col collapsed="false" customWidth="true" hidden="false" outlineLevel="0" max="7" min="7" style="0" width="22"/>
    <col collapsed="false" customWidth="true" hidden="false" outlineLevel="0" max="8" min="8" style="0" width="16"/>
    <col collapsed="false" customWidth="true" hidden="false" outlineLevel="0" max="9" min="9" style="0" width="2.2"/>
  </cols>
  <sheetData>
    <row r="1" customFormat="false" ht="43.5" hidden="false" customHeight="true" outlineLevel="0" collapsed="false">
      <c r="A1" s="1"/>
      <c r="B1" s="2" t="s">
        <v>0</v>
      </c>
      <c r="C1" s="3" t="s">
        <v>108</v>
      </c>
      <c r="D1" s="3"/>
      <c r="E1" s="3"/>
      <c r="F1" s="4" t="s">
        <v>2</v>
      </c>
      <c r="G1" s="4"/>
      <c r="H1" s="4"/>
      <c r="I1" s="21"/>
    </row>
    <row r="2" customFormat="false" ht="18" hidden="false" customHeight="true" outlineLevel="0" collapsed="false">
      <c r="A2" s="5" t="s">
        <v>109</v>
      </c>
      <c r="B2" s="5"/>
      <c r="C2" s="5"/>
      <c r="D2" s="5"/>
      <c r="E2" s="5"/>
      <c r="F2" s="5"/>
      <c r="G2" s="5"/>
      <c r="H2" s="5"/>
      <c r="I2" s="21"/>
    </row>
    <row r="3" customFormat="false" ht="15" hidden="false" customHeight="false" outlineLevel="0" collapsed="false">
      <c r="A3" s="21"/>
      <c r="B3" s="21"/>
      <c r="C3" s="21"/>
      <c r="D3" s="21"/>
      <c r="E3" s="21"/>
      <c r="F3" s="21"/>
      <c r="G3" s="21"/>
      <c r="H3" s="21"/>
      <c r="I3" s="21"/>
    </row>
    <row r="4" customFormat="false" ht="21.75" hidden="false" customHeight="true" outlineLevel="0" collapsed="false">
      <c r="A4" s="21"/>
      <c r="B4" s="35" t="s">
        <v>110</v>
      </c>
      <c r="C4" s="35"/>
      <c r="D4" s="35"/>
      <c r="E4" s="35"/>
      <c r="F4" s="21"/>
      <c r="G4" s="44" t="s">
        <v>111</v>
      </c>
      <c r="H4" s="44"/>
      <c r="I4" s="21"/>
    </row>
    <row r="5" customFormat="false" ht="15" hidden="false" customHeight="false" outlineLevel="0" collapsed="false">
      <c r="A5" s="21"/>
      <c r="B5" s="45" t="s">
        <v>112</v>
      </c>
      <c r="C5" s="46" t="s">
        <v>113</v>
      </c>
      <c r="D5" s="21"/>
      <c r="E5" s="39" t="s">
        <v>101</v>
      </c>
      <c r="F5" s="21"/>
      <c r="G5" s="21"/>
      <c r="H5" s="21"/>
      <c r="I5" s="21"/>
    </row>
    <row r="6" customFormat="false" ht="21.75" hidden="false" customHeight="true" outlineLevel="0" collapsed="false">
      <c r="A6" s="21"/>
      <c r="B6" s="40" t="s">
        <v>114</v>
      </c>
      <c r="C6" s="47" t="n">
        <v>0</v>
      </c>
      <c r="D6" s="48" t="n">
        <v>500</v>
      </c>
      <c r="E6" s="49" t="n">
        <f aca="false">N($C6)*500</f>
        <v>0</v>
      </c>
      <c r="F6" s="21"/>
      <c r="G6" s="40" t="s">
        <v>115</v>
      </c>
      <c r="H6" s="50" t="n">
        <f aca="false">Kassenbuch!$J$52</f>
        <v>4095.7</v>
      </c>
      <c r="I6" s="21"/>
    </row>
    <row r="7" customFormat="false" ht="21.75" hidden="false" customHeight="true" outlineLevel="0" collapsed="false">
      <c r="A7" s="21"/>
      <c r="B7" s="40" t="s">
        <v>116</v>
      </c>
      <c r="C7" s="47" t="n">
        <v>0</v>
      </c>
      <c r="D7" s="48" t="n">
        <v>200</v>
      </c>
      <c r="E7" s="49" t="n">
        <f aca="false">N($C7)*200</f>
        <v>0</v>
      </c>
      <c r="F7" s="21"/>
      <c r="G7" s="40" t="s">
        <v>117</v>
      </c>
      <c r="H7" s="50" t="n">
        <f aca="false">E21</f>
        <v>4095.7</v>
      </c>
      <c r="I7" s="21"/>
    </row>
    <row r="8" customFormat="false" ht="21.75" hidden="false" customHeight="true" outlineLevel="0" collapsed="false">
      <c r="A8" s="21"/>
      <c r="B8" s="40" t="s">
        <v>118</v>
      </c>
      <c r="C8" s="47" t="n">
        <v>20</v>
      </c>
      <c r="D8" s="48" t="n">
        <v>100</v>
      </c>
      <c r="E8" s="49" t="n">
        <f aca="false">N($C8)*100</f>
        <v>2000</v>
      </c>
      <c r="F8" s="21"/>
      <c r="G8" s="51" t="s">
        <v>119</v>
      </c>
      <c r="H8" s="52" t="n">
        <f aca="false">E21-Kassenbuch!$J$52</f>
        <v>0</v>
      </c>
      <c r="I8" s="21"/>
    </row>
    <row r="9" customFormat="false" ht="15" hidden="false" customHeight="false" outlineLevel="0" collapsed="false">
      <c r="A9" s="21"/>
      <c r="B9" s="40" t="s">
        <v>120</v>
      </c>
      <c r="C9" s="47" t="n">
        <v>30</v>
      </c>
      <c r="D9" s="48" t="n">
        <v>50</v>
      </c>
      <c r="E9" s="49" t="n">
        <f aca="false">N($C9)*50</f>
        <v>1500</v>
      </c>
      <c r="F9" s="21"/>
      <c r="G9" s="21"/>
      <c r="H9" s="21"/>
      <c r="I9" s="21"/>
    </row>
    <row r="10" customFormat="false" ht="21.75" hidden="false" customHeight="true" outlineLevel="0" collapsed="false">
      <c r="A10" s="21"/>
      <c r="B10" s="40" t="s">
        <v>121</v>
      </c>
      <c r="C10" s="47" t="n">
        <v>20</v>
      </c>
      <c r="D10" s="48" t="n">
        <v>20</v>
      </c>
      <c r="E10" s="49" t="n">
        <f aca="false">N($C10)*20</f>
        <v>400</v>
      </c>
      <c r="F10" s="21"/>
      <c r="G10" s="40" t="s">
        <v>122</v>
      </c>
      <c r="H10" s="53" t="n">
        <f aca="false">Einstellungen!$C$5</f>
        <v>46305</v>
      </c>
      <c r="I10" s="21"/>
    </row>
    <row r="11" customFormat="false" ht="21.75" hidden="false" customHeight="true" outlineLevel="0" collapsed="false">
      <c r="A11" s="21"/>
      <c r="B11" s="40" t="s">
        <v>123</v>
      </c>
      <c r="C11" s="47" t="n">
        <v>15</v>
      </c>
      <c r="D11" s="48" t="n">
        <v>10</v>
      </c>
      <c r="E11" s="49" t="n">
        <f aca="false">N($C11)*10</f>
        <v>150</v>
      </c>
      <c r="F11" s="21"/>
      <c r="G11" s="40" t="s">
        <v>124</v>
      </c>
      <c r="H11" s="54" t="str">
        <f aca="false">Einstellungen!$C$8</f>
        <v>M. Berger</v>
      </c>
      <c r="I11" s="21"/>
    </row>
    <row r="12" customFormat="false" ht="15" hidden="false" customHeight="false" outlineLevel="0" collapsed="false">
      <c r="A12" s="21"/>
      <c r="B12" s="40" t="s">
        <v>125</v>
      </c>
      <c r="C12" s="47" t="n">
        <v>6</v>
      </c>
      <c r="D12" s="48" t="n">
        <v>5</v>
      </c>
      <c r="E12" s="49" t="n">
        <f aca="false">N($C12)*5</f>
        <v>30</v>
      </c>
      <c r="F12" s="21"/>
      <c r="G12" s="21"/>
      <c r="H12" s="21"/>
      <c r="I12" s="21"/>
    </row>
    <row r="13" customFormat="false" ht="24" hidden="false" customHeight="true" outlineLevel="0" collapsed="false">
      <c r="A13" s="21"/>
      <c r="B13" s="40" t="s">
        <v>126</v>
      </c>
      <c r="C13" s="47" t="n">
        <v>5</v>
      </c>
      <c r="D13" s="48" t="n">
        <v>2</v>
      </c>
      <c r="E13" s="49" t="n">
        <f aca="false">N($C13)*2</f>
        <v>10</v>
      </c>
      <c r="F13" s="21"/>
      <c r="G13" s="55" t="str">
        <f aca="false">IF(ROUND(E21-Kassenbuch!$J$52,2)=0,"✓  Kasse stimmt",IF(E21-Kassenbuch!$J$52&gt;0,"▲  Überschuss prüfen","▼  Fehlbetrag prüfen"))</f>
        <v>✓  Kasse stimmt</v>
      </c>
      <c r="H13" s="55"/>
      <c r="I13" s="21"/>
    </row>
    <row r="14" customFormat="false" ht="15" hidden="false" customHeight="false" outlineLevel="0" collapsed="false">
      <c r="A14" s="21"/>
      <c r="B14" s="40" t="s">
        <v>127</v>
      </c>
      <c r="C14" s="47" t="n">
        <v>4</v>
      </c>
      <c r="D14" s="48" t="n">
        <v>1</v>
      </c>
      <c r="E14" s="49" t="n">
        <f aca="false">N($C14)*1</f>
        <v>4</v>
      </c>
      <c r="F14" s="21"/>
      <c r="G14" s="21"/>
      <c r="H14" s="21"/>
      <c r="I14" s="21"/>
    </row>
    <row r="15" customFormat="false" ht="15" hidden="false" customHeight="true" outlineLevel="0" collapsed="false">
      <c r="A15" s="21"/>
      <c r="B15" s="40" t="s">
        <v>128</v>
      </c>
      <c r="C15" s="47" t="n">
        <v>3</v>
      </c>
      <c r="D15" s="48" t="n">
        <v>0.5</v>
      </c>
      <c r="E15" s="49" t="n">
        <f aca="false">N($C15)*0.5</f>
        <v>1.5</v>
      </c>
      <c r="F15" s="21"/>
      <c r="G15" s="56" t="s">
        <v>129</v>
      </c>
      <c r="H15" s="56"/>
      <c r="I15" s="21"/>
    </row>
    <row r="16" customFormat="false" ht="15" hidden="false" customHeight="false" outlineLevel="0" collapsed="false">
      <c r="A16" s="21"/>
      <c r="B16" s="40" t="s">
        <v>130</v>
      </c>
      <c r="C16" s="47" t="n">
        <v>1</v>
      </c>
      <c r="D16" s="48" t="n">
        <v>0.2</v>
      </c>
      <c r="E16" s="49" t="n">
        <f aca="false">N($C16)*0.2</f>
        <v>0.2</v>
      </c>
      <c r="F16" s="21"/>
      <c r="G16" s="56"/>
      <c r="H16" s="56"/>
      <c r="I16" s="21"/>
    </row>
    <row r="17" customFormat="false" ht="15" hidden="false" customHeight="false" outlineLevel="0" collapsed="false">
      <c r="A17" s="21"/>
      <c r="B17" s="40" t="s">
        <v>131</v>
      </c>
      <c r="C17" s="47" t="n">
        <v>0</v>
      </c>
      <c r="D17" s="48" t="n">
        <v>0.1</v>
      </c>
      <c r="E17" s="49" t="n">
        <f aca="false">N($C17)*0.1</f>
        <v>0</v>
      </c>
      <c r="F17" s="21"/>
      <c r="G17" s="56"/>
      <c r="H17" s="56"/>
      <c r="I17" s="21"/>
    </row>
    <row r="18" customFormat="false" ht="15" hidden="false" customHeight="false" outlineLevel="0" collapsed="false">
      <c r="A18" s="21"/>
      <c r="B18" s="40" t="s">
        <v>132</v>
      </c>
      <c r="C18" s="47" t="n">
        <v>0</v>
      </c>
      <c r="D18" s="48" t="n">
        <v>0.05</v>
      </c>
      <c r="E18" s="49" t="n">
        <f aca="false">N($C18)*0.05</f>
        <v>0</v>
      </c>
      <c r="F18" s="21"/>
      <c r="G18" s="56"/>
      <c r="H18" s="56"/>
      <c r="I18" s="21"/>
    </row>
    <row r="19" customFormat="false" ht="15" hidden="false" customHeight="false" outlineLevel="0" collapsed="false">
      <c r="A19" s="21"/>
      <c r="B19" s="40" t="s">
        <v>133</v>
      </c>
      <c r="C19" s="47" t="n">
        <v>0</v>
      </c>
      <c r="D19" s="48" t="n">
        <v>0.02</v>
      </c>
      <c r="E19" s="49" t="n">
        <f aca="false">N($C19)*0.02</f>
        <v>0</v>
      </c>
      <c r="F19" s="21"/>
      <c r="G19" s="21"/>
      <c r="H19" s="21"/>
      <c r="I19" s="21"/>
    </row>
    <row r="20" customFormat="false" ht="15" hidden="false" customHeight="false" outlineLevel="0" collapsed="false">
      <c r="A20" s="21"/>
      <c r="B20" s="40" t="s">
        <v>134</v>
      </c>
      <c r="C20" s="47" t="n">
        <v>0</v>
      </c>
      <c r="D20" s="48" t="n">
        <v>0.01</v>
      </c>
      <c r="E20" s="49" t="n">
        <f aca="false">N($C20)*0.01</f>
        <v>0</v>
      </c>
      <c r="F20" s="21"/>
      <c r="G20" s="21"/>
      <c r="H20" s="21"/>
      <c r="I20" s="21"/>
    </row>
    <row r="21" customFormat="false" ht="21.75" hidden="false" customHeight="true" outlineLevel="0" collapsed="false">
      <c r="A21" s="21"/>
      <c r="B21" s="57" t="s">
        <v>117</v>
      </c>
      <c r="C21" s="57"/>
      <c r="D21" s="58"/>
      <c r="E21" s="59" t="n">
        <f aca="false">SUM(E6:E20)</f>
        <v>4095.7</v>
      </c>
      <c r="F21" s="21"/>
      <c r="G21" s="21"/>
      <c r="H21" s="21"/>
      <c r="I21" s="21"/>
    </row>
    <row r="22" customFormat="false" ht="15" hidden="false" customHeight="false" outlineLevel="0" collapsed="false">
      <c r="A22" s="21"/>
      <c r="B22" s="21"/>
      <c r="C22" s="21"/>
      <c r="D22" s="21"/>
      <c r="E22" s="21"/>
      <c r="F22" s="21"/>
      <c r="G22" s="21"/>
      <c r="H22" s="21"/>
      <c r="I22" s="21"/>
    </row>
    <row r="23" customFormat="false" ht="15" hidden="false" customHeight="false" outlineLevel="0" collapsed="false">
      <c r="A23" s="21"/>
      <c r="B23" s="21"/>
      <c r="C23" s="21"/>
      <c r="D23" s="21"/>
      <c r="E23" s="21"/>
      <c r="F23" s="21"/>
      <c r="G23" s="21"/>
      <c r="H23" s="21"/>
      <c r="I23" s="21"/>
    </row>
    <row r="24" customFormat="false" ht="15" hidden="false" customHeight="false" outlineLevel="0" collapsed="false">
      <c r="A24" s="21"/>
      <c r="B24" s="21"/>
      <c r="C24" s="21"/>
      <c r="D24" s="21"/>
      <c r="E24" s="21"/>
      <c r="F24" s="21"/>
      <c r="G24" s="21"/>
      <c r="H24" s="21"/>
      <c r="I24" s="21"/>
    </row>
    <row r="25" customFormat="false" ht="15" hidden="false" customHeight="false" outlineLevel="0" collapsed="false">
      <c r="A25" s="21"/>
      <c r="B25" s="21"/>
      <c r="C25" s="21"/>
      <c r="D25" s="21"/>
      <c r="E25" s="21"/>
      <c r="F25" s="21"/>
      <c r="G25" s="21"/>
      <c r="H25" s="21"/>
      <c r="I25" s="21"/>
    </row>
    <row r="26" customFormat="false" ht="15" hidden="false" customHeight="false" outlineLevel="0" collapsed="false">
      <c r="A26" s="21"/>
      <c r="B26" s="21"/>
      <c r="C26" s="21"/>
      <c r="D26" s="21"/>
      <c r="E26" s="21"/>
      <c r="F26" s="21"/>
      <c r="G26" s="21"/>
      <c r="H26" s="21"/>
      <c r="I26" s="21"/>
    </row>
    <row r="27" customFormat="false" ht="15" hidden="false" customHeight="false" outlineLevel="0" collapsed="false">
      <c r="A27" s="21"/>
      <c r="B27" s="21"/>
      <c r="C27" s="21"/>
      <c r="D27" s="21"/>
      <c r="E27" s="21"/>
      <c r="F27" s="21"/>
      <c r="G27" s="21"/>
      <c r="H27" s="21"/>
      <c r="I27" s="21"/>
    </row>
    <row r="28" customFormat="false" ht="15" hidden="false" customHeight="false" outlineLevel="0" collapsed="false">
      <c r="A28" s="21"/>
      <c r="B28" s="21"/>
      <c r="C28" s="21"/>
      <c r="D28" s="21"/>
      <c r="E28" s="21"/>
      <c r="F28" s="21"/>
      <c r="G28" s="21"/>
      <c r="H28" s="21"/>
      <c r="I28" s="21"/>
    </row>
    <row r="29" customFormat="false" ht="15" hidden="false" customHeight="false" outlineLevel="0" collapsed="false">
      <c r="A29" s="21"/>
      <c r="B29" s="21"/>
      <c r="C29" s="21"/>
      <c r="D29" s="21"/>
      <c r="E29" s="21"/>
      <c r="F29" s="21"/>
      <c r="G29" s="21"/>
      <c r="H29" s="21"/>
      <c r="I29" s="21"/>
    </row>
    <row r="30" customFormat="false" ht="15" hidden="false" customHeight="false" outlineLevel="0" collapsed="false">
      <c r="A30" s="21"/>
      <c r="B30" s="21"/>
      <c r="C30" s="21"/>
      <c r="D30" s="21"/>
      <c r="E30" s="21"/>
      <c r="F30" s="21"/>
      <c r="G30" s="21"/>
      <c r="H30" s="21"/>
      <c r="I30" s="21"/>
    </row>
    <row r="31" customFormat="false" ht="15" hidden="false" customHeight="false" outlineLevel="0" collapsed="false">
      <c r="A31" s="21"/>
      <c r="B31" s="21"/>
      <c r="C31" s="21"/>
      <c r="D31" s="21"/>
      <c r="E31" s="21"/>
      <c r="F31" s="21"/>
      <c r="G31" s="21"/>
      <c r="H31" s="21"/>
      <c r="I31" s="21"/>
    </row>
    <row r="32" customFormat="false" ht="15" hidden="false" customHeight="false" outlineLevel="0" collapsed="false">
      <c r="A32" s="21"/>
      <c r="B32" s="21"/>
      <c r="C32" s="21"/>
      <c r="D32" s="21"/>
      <c r="E32" s="21"/>
      <c r="F32" s="21"/>
      <c r="G32" s="21"/>
      <c r="H32" s="21"/>
      <c r="I32" s="21"/>
    </row>
    <row r="33" customFormat="false" ht="15" hidden="false" customHeight="false" outlineLevel="0" collapsed="false">
      <c r="A33" s="21"/>
      <c r="B33" s="21"/>
      <c r="C33" s="21"/>
      <c r="D33" s="21"/>
      <c r="E33" s="21"/>
      <c r="F33" s="21"/>
      <c r="G33" s="21"/>
      <c r="H33" s="21"/>
      <c r="I33" s="21"/>
    </row>
    <row r="34" customFormat="false" ht="15" hidden="false" customHeight="false" outlineLevel="0" collapsed="false">
      <c r="A34" s="21"/>
      <c r="B34" s="21"/>
      <c r="C34" s="21"/>
      <c r="D34" s="21"/>
      <c r="E34" s="21"/>
      <c r="F34" s="21"/>
      <c r="G34" s="21"/>
      <c r="H34" s="21"/>
      <c r="I34" s="21"/>
    </row>
  </sheetData>
  <mergeCells count="8">
    <mergeCell ref="C1:E1"/>
    <mergeCell ref="F1:H1"/>
    <mergeCell ref="A2:H2"/>
    <mergeCell ref="B4:E4"/>
    <mergeCell ref="G4:H4"/>
    <mergeCell ref="G13:H13"/>
    <mergeCell ref="G15:H18"/>
    <mergeCell ref="B21:C21"/>
  </mergeCells>
  <conditionalFormatting sqref="G13">
    <cfRule type="expression" priority="2" aboveAverage="0" equalAverage="0" bottom="0" percent="0" rank="0" text="" dxfId="4">
      <formula>ROUND(E21-Kassenbuch!$J$52,2)=0</formula>
    </cfRule>
    <cfRule type="expression" priority="3" aboveAverage="0" equalAverage="0" bottom="0" percent="0" rank="0" text="" dxfId="5">
      <formula>ROUND(E21-Kassenbuch!$J$52,2)&lt;&gt;0</formula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A6B7B"/>
    <pageSetUpPr fitToPage="tru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3"/>
    <col collapsed="false" customWidth="true" hidden="false" outlineLevel="0" max="5" min="5" style="0" width="8"/>
    <col collapsed="false" customWidth="true" hidden="false" outlineLevel="0" max="6" min="6" style="0" width="24"/>
    <col collapsed="false" customWidth="true" hidden="false" outlineLevel="0" max="7" min="7" style="0" width="2.2"/>
  </cols>
  <sheetData>
    <row r="1" customFormat="false" ht="43.5" hidden="false" customHeight="true" outlineLevel="0" collapsed="false">
      <c r="A1" s="1"/>
      <c r="B1" s="2" t="s">
        <v>0</v>
      </c>
      <c r="C1" s="3" t="s">
        <v>135</v>
      </c>
      <c r="D1" s="3"/>
      <c r="E1" s="3"/>
      <c r="F1" s="3"/>
      <c r="G1" s="3"/>
    </row>
    <row r="2" customFormat="false" ht="18" hidden="false" customHeight="true" outlineLevel="0" collapsed="false">
      <c r="A2" s="5" t="s">
        <v>136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21"/>
      <c r="B3" s="21"/>
      <c r="C3" s="21"/>
      <c r="D3" s="21"/>
      <c r="E3" s="21"/>
      <c r="F3" s="21"/>
      <c r="G3" s="21"/>
    </row>
    <row r="4" customFormat="false" ht="21.75" hidden="false" customHeight="true" outlineLevel="0" collapsed="false">
      <c r="A4" s="21"/>
      <c r="B4" s="35" t="s">
        <v>137</v>
      </c>
      <c r="C4" s="35"/>
      <c r="D4" s="21"/>
      <c r="E4" s="21"/>
      <c r="F4" s="21"/>
      <c r="G4" s="21"/>
    </row>
    <row r="5" customFormat="false" ht="19.5" hidden="false" customHeight="true" outlineLevel="0" collapsed="false">
      <c r="A5" s="21"/>
      <c r="B5" s="60" t="s">
        <v>138</v>
      </c>
      <c r="C5" s="61" t="n">
        <f aca="true">TODAY()</f>
        <v>46305</v>
      </c>
      <c r="D5" s="21"/>
      <c r="E5" s="21"/>
      <c r="F5" s="21"/>
      <c r="G5" s="21"/>
    </row>
    <row r="6" customFormat="false" ht="19.5" hidden="false" customHeight="true" outlineLevel="0" collapsed="false">
      <c r="A6" s="21"/>
      <c r="B6" s="60" t="s">
        <v>139</v>
      </c>
      <c r="C6" s="62" t="s">
        <v>140</v>
      </c>
      <c r="D6" s="21"/>
      <c r="E6" s="21"/>
      <c r="F6" s="21"/>
      <c r="G6" s="21"/>
    </row>
    <row r="7" customFormat="false" ht="19.5" hidden="false" customHeight="true" outlineLevel="0" collapsed="false">
      <c r="A7" s="21"/>
      <c r="B7" s="60" t="s">
        <v>141</v>
      </c>
      <c r="C7" s="63" t="n">
        <v>350</v>
      </c>
      <c r="D7" s="21"/>
      <c r="E7" s="21"/>
      <c r="F7" s="21"/>
      <c r="G7" s="21"/>
    </row>
    <row r="8" customFormat="false" ht="19.5" hidden="false" customHeight="true" outlineLevel="0" collapsed="false">
      <c r="A8" s="21"/>
      <c r="B8" s="60" t="s">
        <v>142</v>
      </c>
      <c r="C8" s="62" t="s">
        <v>143</v>
      </c>
      <c r="D8" s="21"/>
      <c r="E8" s="21"/>
      <c r="F8" s="21"/>
      <c r="G8" s="21"/>
    </row>
    <row r="9" customFormat="false" ht="15" hidden="false" customHeight="false" outlineLevel="0" collapsed="false">
      <c r="A9" s="21"/>
      <c r="B9" s="35" t="s">
        <v>144</v>
      </c>
      <c r="C9" s="35"/>
      <c r="D9" s="21"/>
      <c r="E9" s="37" t="s">
        <v>145</v>
      </c>
      <c r="F9" s="37"/>
      <c r="G9" s="21"/>
    </row>
    <row r="10" customFormat="false" ht="15" hidden="false" customHeight="false" outlineLevel="0" collapsed="false">
      <c r="A10" s="21"/>
      <c r="B10" s="64" t="s">
        <v>16</v>
      </c>
      <c r="C10" s="65" t="s">
        <v>9</v>
      </c>
      <c r="D10" s="21"/>
      <c r="E10" s="66" t="n">
        <v>0.19</v>
      </c>
      <c r="F10" s="67" t="s">
        <v>146</v>
      </c>
      <c r="G10" s="21"/>
    </row>
    <row r="11" customFormat="false" ht="15" hidden="false" customHeight="false" outlineLevel="0" collapsed="false">
      <c r="A11" s="21"/>
      <c r="B11" s="64" t="s">
        <v>49</v>
      </c>
      <c r="C11" s="65" t="s">
        <v>9</v>
      </c>
      <c r="D11" s="21"/>
      <c r="E11" s="66" t="n">
        <v>0.07</v>
      </c>
      <c r="F11" s="67" t="s">
        <v>147</v>
      </c>
      <c r="G11" s="21"/>
    </row>
    <row r="12" customFormat="false" ht="15" hidden="false" customHeight="false" outlineLevel="0" collapsed="false">
      <c r="A12" s="21"/>
      <c r="B12" s="64" t="s">
        <v>32</v>
      </c>
      <c r="C12" s="65" t="s">
        <v>9</v>
      </c>
      <c r="D12" s="21"/>
      <c r="E12" s="66" t="n">
        <v>0</v>
      </c>
      <c r="F12" s="67" t="s">
        <v>148</v>
      </c>
      <c r="G12" s="21"/>
    </row>
    <row r="13" customFormat="false" ht="15" hidden="false" customHeight="false" outlineLevel="0" collapsed="false">
      <c r="A13" s="21"/>
      <c r="B13" s="64" t="s">
        <v>19</v>
      </c>
      <c r="C13" s="68" t="s">
        <v>10</v>
      </c>
      <c r="D13" s="21"/>
      <c r="E13" s="21"/>
      <c r="F13" s="21"/>
      <c r="G13" s="21"/>
    </row>
    <row r="14" customFormat="false" ht="15" hidden="false" customHeight="false" outlineLevel="0" collapsed="false">
      <c r="A14" s="21"/>
      <c r="B14" s="64" t="s">
        <v>24</v>
      </c>
      <c r="C14" s="68" t="s">
        <v>10</v>
      </c>
      <c r="D14" s="21"/>
      <c r="E14" s="21"/>
      <c r="F14" s="21"/>
      <c r="G14" s="21"/>
    </row>
    <row r="15" customFormat="false" ht="15" hidden="false" customHeight="false" outlineLevel="0" collapsed="false">
      <c r="A15" s="21"/>
      <c r="B15" s="64" t="s">
        <v>40</v>
      </c>
      <c r="C15" s="68" t="s">
        <v>10</v>
      </c>
      <c r="D15" s="21"/>
      <c r="E15" s="21"/>
      <c r="F15" s="21"/>
      <c r="G15" s="21"/>
    </row>
    <row r="16" customFormat="false" ht="15" hidden="false" customHeight="false" outlineLevel="0" collapsed="false">
      <c r="A16" s="21"/>
      <c r="B16" s="64" t="s">
        <v>61</v>
      </c>
      <c r="C16" s="68" t="s">
        <v>10</v>
      </c>
      <c r="D16" s="21"/>
      <c r="E16" s="21"/>
      <c r="F16" s="21"/>
      <c r="G16" s="21"/>
    </row>
    <row r="17" customFormat="false" ht="15" hidden="false" customHeight="false" outlineLevel="0" collapsed="false">
      <c r="A17" s="21"/>
      <c r="B17" s="64" t="s">
        <v>29</v>
      </c>
      <c r="C17" s="68" t="s">
        <v>10</v>
      </c>
      <c r="D17" s="21"/>
      <c r="E17" s="21"/>
      <c r="F17" s="21"/>
      <c r="G17" s="21"/>
    </row>
    <row r="18" customFormat="false" ht="15" hidden="false" customHeight="false" outlineLevel="0" collapsed="false">
      <c r="A18" s="21"/>
      <c r="B18" s="64" t="s">
        <v>52</v>
      </c>
      <c r="C18" s="68" t="s">
        <v>10</v>
      </c>
      <c r="D18" s="21"/>
      <c r="E18" s="21"/>
      <c r="F18" s="21"/>
      <c r="G18" s="21"/>
    </row>
    <row r="19" customFormat="false" ht="15" hidden="false" customHeight="false" outlineLevel="0" collapsed="false">
      <c r="A19" s="21"/>
      <c r="B19" s="64" t="s">
        <v>58</v>
      </c>
      <c r="C19" s="68" t="s">
        <v>10</v>
      </c>
      <c r="D19" s="21"/>
      <c r="E19" s="21"/>
      <c r="F19" s="21"/>
      <c r="G19" s="21"/>
    </row>
    <row r="20" customFormat="false" ht="15" hidden="false" customHeight="false" outlineLevel="0" collapsed="false">
      <c r="A20" s="21"/>
      <c r="B20" s="64" t="s">
        <v>35</v>
      </c>
      <c r="C20" s="69" t="s">
        <v>149</v>
      </c>
      <c r="D20" s="21"/>
      <c r="E20" s="21"/>
      <c r="F20" s="21"/>
      <c r="G20" s="21"/>
    </row>
    <row r="21" customFormat="false" ht="15" hidden="false" customHeight="false" outlineLevel="0" collapsed="false">
      <c r="A21" s="21"/>
      <c r="B21" s="64" t="s">
        <v>68</v>
      </c>
      <c r="C21" s="69" t="s">
        <v>149</v>
      </c>
      <c r="D21" s="21"/>
      <c r="E21" s="21"/>
      <c r="F21" s="21"/>
      <c r="G21" s="21"/>
    </row>
    <row r="22" customFormat="false" ht="15" hidden="false" customHeight="false" outlineLevel="0" collapsed="false">
      <c r="A22" s="21"/>
      <c r="B22" s="21"/>
      <c r="C22" s="21"/>
      <c r="D22" s="21"/>
      <c r="E22" s="21"/>
      <c r="F22" s="21"/>
      <c r="G22" s="21"/>
    </row>
    <row r="23" customFormat="false" ht="15" hidden="false" customHeight="false" outlineLevel="0" collapsed="false">
      <c r="A23" s="21"/>
      <c r="B23" s="21"/>
      <c r="C23" s="21"/>
      <c r="D23" s="21"/>
      <c r="E23" s="21"/>
      <c r="F23" s="21"/>
      <c r="G23" s="21"/>
    </row>
    <row r="24" customFormat="false" ht="15" hidden="false" customHeight="false" outlineLevel="0" collapsed="false">
      <c r="A24" s="21"/>
      <c r="B24" s="21"/>
      <c r="C24" s="21"/>
      <c r="D24" s="21"/>
      <c r="E24" s="21"/>
      <c r="F24" s="21"/>
      <c r="G24" s="21"/>
    </row>
    <row r="25" customFormat="false" ht="15" hidden="false" customHeight="false" outlineLevel="0" collapsed="false">
      <c r="A25" s="21"/>
      <c r="B25" s="21"/>
      <c r="C25" s="21"/>
      <c r="D25" s="21"/>
      <c r="E25" s="21"/>
      <c r="F25" s="21"/>
      <c r="G25" s="21"/>
    </row>
    <row r="26" customFormat="false" ht="15" hidden="false" customHeight="false" outlineLevel="0" collapsed="false">
      <c r="A26" s="21"/>
      <c r="B26" s="21"/>
      <c r="C26" s="21"/>
      <c r="D26" s="21"/>
      <c r="E26" s="21"/>
      <c r="F26" s="21"/>
      <c r="G26" s="21"/>
    </row>
  </sheetData>
  <mergeCells count="5">
    <mergeCell ref="C1:G1"/>
    <mergeCell ref="A2:G2"/>
    <mergeCell ref="B4:C4"/>
    <mergeCell ref="B9:C9"/>
    <mergeCell ref="E9:F9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E3C4C"/>
    <pageSetUpPr fitToPage="true"/>
  </sheetPr>
  <dimension ref="A1:D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2.2"/>
  </cols>
  <sheetData>
    <row r="1" customFormat="false" ht="43.5" hidden="false" customHeight="true" outlineLevel="0" collapsed="false">
      <c r="A1" s="1"/>
      <c r="B1" s="2" t="s">
        <v>0</v>
      </c>
      <c r="C1" s="3" t="s">
        <v>150</v>
      </c>
      <c r="D1" s="3"/>
    </row>
    <row r="2" customFormat="false" ht="18" hidden="false" customHeight="true" outlineLevel="0" collapsed="false">
      <c r="A2" s="5" t="s">
        <v>151</v>
      </c>
      <c r="B2" s="5"/>
      <c r="C2" s="5"/>
      <c r="D2" s="5"/>
    </row>
    <row r="3" customFormat="false" ht="15" hidden="false" customHeight="false" outlineLevel="0" collapsed="false">
      <c r="A3" s="21"/>
      <c r="B3" s="21"/>
      <c r="C3" s="21"/>
      <c r="D3" s="21"/>
    </row>
    <row r="4" customFormat="false" ht="24" hidden="false" customHeight="true" outlineLevel="0" collapsed="false">
      <c r="A4" s="21"/>
      <c r="B4" s="70" t="s">
        <v>152</v>
      </c>
      <c r="C4" s="70"/>
      <c r="D4" s="21"/>
    </row>
    <row r="5" customFormat="false" ht="33.75" hidden="false" customHeight="true" outlineLevel="0" collapsed="false">
      <c r="A5" s="21"/>
      <c r="B5" s="71" t="s">
        <v>153</v>
      </c>
      <c r="C5" s="72" t="s">
        <v>154</v>
      </c>
      <c r="D5" s="21"/>
    </row>
    <row r="6" customFormat="false" ht="45.75" hidden="false" customHeight="true" outlineLevel="0" collapsed="false">
      <c r="A6" s="21"/>
      <c r="B6" s="71" t="s">
        <v>155</v>
      </c>
      <c r="C6" s="72" t="s">
        <v>156</v>
      </c>
      <c r="D6" s="21"/>
    </row>
    <row r="7" customFormat="false" ht="33.75" hidden="false" customHeight="true" outlineLevel="0" collapsed="false">
      <c r="A7" s="21"/>
      <c r="B7" s="71" t="s">
        <v>157</v>
      </c>
      <c r="C7" s="72" t="s">
        <v>158</v>
      </c>
      <c r="D7" s="21"/>
    </row>
    <row r="8" customFormat="false" ht="33.75" hidden="false" customHeight="true" outlineLevel="0" collapsed="false">
      <c r="A8" s="21"/>
      <c r="B8" s="71" t="s">
        <v>159</v>
      </c>
      <c r="C8" s="72" t="s">
        <v>160</v>
      </c>
      <c r="D8" s="21"/>
    </row>
    <row r="9" customFormat="false" ht="15" hidden="false" customHeight="false" outlineLevel="0" collapsed="false">
      <c r="A9" s="21"/>
      <c r="B9" s="21"/>
      <c r="C9" s="21"/>
      <c r="D9" s="21"/>
    </row>
    <row r="10" customFormat="false" ht="24" hidden="false" customHeight="true" outlineLevel="0" collapsed="false">
      <c r="A10" s="21"/>
      <c r="B10" s="70" t="s">
        <v>161</v>
      </c>
      <c r="C10" s="70"/>
      <c r="D10" s="21"/>
    </row>
    <row r="11" customFormat="false" ht="33.75" hidden="false" customHeight="true" outlineLevel="0" collapsed="false">
      <c r="A11" s="21"/>
      <c r="B11" s="71" t="s">
        <v>1</v>
      </c>
      <c r="C11" s="72" t="s">
        <v>162</v>
      </c>
      <c r="D11" s="21"/>
    </row>
    <row r="12" customFormat="false" ht="33.75" hidden="false" customHeight="true" outlineLevel="0" collapsed="false">
      <c r="A12" s="21"/>
      <c r="B12" s="71" t="s">
        <v>90</v>
      </c>
      <c r="C12" s="72" t="s">
        <v>163</v>
      </c>
      <c r="D12" s="21"/>
    </row>
    <row r="13" customFormat="false" ht="33.75" hidden="false" customHeight="true" outlineLevel="0" collapsed="false">
      <c r="A13" s="21"/>
      <c r="B13" s="71" t="s">
        <v>108</v>
      </c>
      <c r="C13" s="72" t="s">
        <v>164</v>
      </c>
      <c r="D13" s="21"/>
    </row>
    <row r="14" customFormat="false" ht="33.75" hidden="false" customHeight="true" outlineLevel="0" collapsed="false">
      <c r="A14" s="21"/>
      <c r="B14" s="71" t="s">
        <v>135</v>
      </c>
      <c r="C14" s="72" t="s">
        <v>165</v>
      </c>
      <c r="D14" s="21"/>
    </row>
    <row r="15" customFormat="false" ht="15" hidden="false" customHeight="false" outlineLevel="0" collapsed="false">
      <c r="A15" s="21"/>
      <c r="B15" s="21"/>
      <c r="C15" s="21"/>
      <c r="D15" s="21"/>
    </row>
    <row r="16" customFormat="false" ht="24" hidden="false" customHeight="true" outlineLevel="0" collapsed="false">
      <c r="A16" s="21"/>
      <c r="B16" s="70" t="s">
        <v>166</v>
      </c>
      <c r="C16" s="70"/>
      <c r="D16" s="21"/>
    </row>
    <row r="17" customFormat="false" ht="33.75" hidden="false" customHeight="true" outlineLevel="0" collapsed="false">
      <c r="A17" s="21"/>
      <c r="B17" s="71" t="s">
        <v>167</v>
      </c>
      <c r="C17" s="72" t="s">
        <v>168</v>
      </c>
      <c r="D17" s="21"/>
    </row>
    <row r="18" customFormat="false" ht="33.75" hidden="false" customHeight="true" outlineLevel="0" collapsed="false">
      <c r="A18" s="21"/>
      <c r="B18" s="71" t="s">
        <v>169</v>
      </c>
      <c r="C18" s="72" t="s">
        <v>170</v>
      </c>
      <c r="D18" s="21"/>
    </row>
    <row r="19" customFormat="false" ht="33.75" hidden="false" customHeight="true" outlineLevel="0" collapsed="false">
      <c r="A19" s="21"/>
      <c r="B19" s="71" t="s">
        <v>171</v>
      </c>
      <c r="C19" s="72" t="s">
        <v>172</v>
      </c>
      <c r="D19" s="21"/>
    </row>
    <row r="20" customFormat="false" ht="45.75" hidden="false" customHeight="true" outlineLevel="0" collapsed="false">
      <c r="A20" s="21"/>
      <c r="B20" s="71" t="s">
        <v>173</v>
      </c>
      <c r="C20" s="72" t="s">
        <v>174</v>
      </c>
      <c r="D20" s="21"/>
    </row>
    <row r="21" customFormat="false" ht="15" hidden="false" customHeight="false" outlineLevel="0" collapsed="false">
      <c r="A21" s="21"/>
      <c r="B21" s="73" t="s">
        <v>175</v>
      </c>
      <c r="C21" s="73"/>
      <c r="D21" s="21"/>
    </row>
    <row r="22" customFormat="false" ht="15" hidden="false" customHeight="false" outlineLevel="0" collapsed="false">
      <c r="A22" s="21"/>
      <c r="B22" s="21"/>
      <c r="C22" s="21"/>
      <c r="D22" s="21"/>
    </row>
    <row r="23" customFormat="false" ht="15" hidden="false" customHeight="false" outlineLevel="0" collapsed="false">
      <c r="A23" s="21"/>
      <c r="B23" s="21"/>
      <c r="C23" s="21"/>
      <c r="D23" s="21"/>
    </row>
    <row r="24" customFormat="false" ht="15" hidden="false" customHeight="false" outlineLevel="0" collapsed="false">
      <c r="A24" s="21"/>
      <c r="B24" s="21"/>
      <c r="C24" s="21"/>
      <c r="D24" s="21"/>
    </row>
    <row r="25" customFormat="false" ht="15" hidden="false" customHeight="false" outlineLevel="0" collapsed="false">
      <c r="A25" s="21"/>
      <c r="B25" s="21"/>
      <c r="C25" s="21"/>
      <c r="D25" s="21"/>
    </row>
    <row r="26" customFormat="false" ht="15" hidden="false" customHeight="false" outlineLevel="0" collapsed="false">
      <c r="A26" s="21"/>
      <c r="B26" s="21"/>
      <c r="C26" s="21"/>
      <c r="D26" s="21"/>
    </row>
    <row r="27" customFormat="false" ht="15" hidden="false" customHeight="false" outlineLevel="0" collapsed="false">
      <c r="A27" s="21"/>
      <c r="B27" s="21"/>
      <c r="C27" s="21"/>
      <c r="D27" s="21"/>
    </row>
    <row r="28" customFormat="false" ht="15" hidden="false" customHeight="false" outlineLevel="0" collapsed="false">
      <c r="A28" s="21"/>
      <c r="B28" s="21"/>
      <c r="C28" s="21"/>
      <c r="D28" s="21"/>
    </row>
    <row r="29" customFormat="false" ht="15" hidden="false" customHeight="false" outlineLevel="0" collapsed="false">
      <c r="A29" s="21"/>
      <c r="B29" s="21"/>
      <c r="C29" s="21"/>
      <c r="D29" s="21"/>
    </row>
    <row r="30" customFormat="false" ht="15" hidden="false" customHeight="false" outlineLevel="0" collapsed="false">
      <c r="A30" s="21"/>
      <c r="B30" s="21"/>
      <c r="C30" s="21"/>
      <c r="D30" s="21"/>
    </row>
    <row r="31" customFormat="false" ht="15" hidden="false" customHeight="false" outlineLevel="0" collapsed="false">
      <c r="A31" s="21"/>
      <c r="B31" s="21"/>
      <c r="C31" s="21"/>
      <c r="D31" s="21"/>
    </row>
    <row r="32" customFormat="false" ht="15" hidden="false" customHeight="false" outlineLevel="0" collapsed="false">
      <c r="A32" s="21"/>
      <c r="B32" s="21"/>
      <c r="C32" s="21"/>
      <c r="D32" s="21"/>
    </row>
    <row r="33" customFormat="false" ht="15" hidden="false" customHeight="false" outlineLevel="0" collapsed="false">
      <c r="A33" s="21"/>
      <c r="B33" s="21"/>
      <c r="C33" s="21"/>
      <c r="D33" s="21"/>
    </row>
    <row r="34" customFormat="false" ht="15" hidden="false" customHeight="false" outlineLevel="0" collapsed="false">
      <c r="A34" s="21"/>
      <c r="B34" s="21"/>
      <c r="C34" s="21"/>
      <c r="D34" s="21"/>
    </row>
    <row r="35" customFormat="false" ht="15" hidden="false" customHeight="false" outlineLevel="0" collapsed="false">
      <c r="A35" s="21"/>
      <c r="B35" s="21"/>
      <c r="C35" s="21"/>
      <c r="D35" s="21"/>
    </row>
    <row r="36" customFormat="false" ht="15" hidden="false" customHeight="false" outlineLevel="0" collapsed="false">
      <c r="A36" s="21"/>
      <c r="B36" s="21"/>
      <c r="C36" s="21"/>
      <c r="D36" s="21"/>
    </row>
    <row r="37" customFormat="false" ht="15" hidden="false" customHeight="false" outlineLevel="0" collapsed="false">
      <c r="A37" s="21"/>
      <c r="B37" s="21"/>
      <c r="C37" s="21"/>
      <c r="D37" s="21"/>
    </row>
    <row r="38" customFormat="false" ht="15" hidden="false" customHeight="false" outlineLevel="0" collapsed="false">
      <c r="A38" s="21"/>
      <c r="B38" s="21"/>
      <c r="C38" s="21"/>
      <c r="D38" s="21"/>
    </row>
    <row r="39" customFormat="false" ht="15" hidden="false" customHeight="false" outlineLevel="0" collapsed="false">
      <c r="A39" s="21"/>
      <c r="B39" s="21"/>
      <c r="C39" s="21"/>
      <c r="D39" s="21"/>
    </row>
    <row r="40" customFormat="false" ht="15" hidden="false" customHeight="false" outlineLevel="0" collapsed="false">
      <c r="A40" s="21"/>
      <c r="B40" s="21"/>
      <c r="C40" s="21"/>
      <c r="D40" s="21"/>
    </row>
    <row r="41" customFormat="false" ht="15" hidden="false" customHeight="false" outlineLevel="0" collapsed="false">
      <c r="A41" s="21"/>
      <c r="B41" s="21"/>
      <c r="C41" s="21"/>
      <c r="D41" s="21"/>
    </row>
    <row r="42" customFormat="false" ht="15" hidden="false" customHeight="false" outlineLevel="0" collapsed="false">
      <c r="A42" s="21"/>
      <c r="B42" s="21"/>
      <c r="C42" s="21"/>
      <c r="D42" s="21"/>
    </row>
    <row r="43" customFormat="false" ht="15" hidden="false" customHeight="false" outlineLevel="0" collapsed="false">
      <c r="A43" s="21"/>
      <c r="B43" s="21"/>
      <c r="C43" s="21"/>
      <c r="D43" s="21"/>
    </row>
    <row r="44" customFormat="false" ht="15" hidden="false" customHeight="false" outlineLevel="0" collapsed="false">
      <c r="A44" s="21"/>
      <c r="B44" s="21"/>
      <c r="C44" s="21"/>
      <c r="D44" s="21"/>
    </row>
    <row r="45" customFormat="false" ht="15" hidden="false" customHeight="false" outlineLevel="0" collapsed="false">
      <c r="A45" s="21"/>
      <c r="B45" s="21"/>
      <c r="C45" s="21"/>
      <c r="D45" s="21"/>
    </row>
    <row r="46" customFormat="false" ht="15" hidden="false" customHeight="false" outlineLevel="0" collapsed="false">
      <c r="A46" s="21"/>
      <c r="B46" s="21"/>
      <c r="C46" s="21"/>
      <c r="D46" s="21"/>
    </row>
    <row r="47" customFormat="false" ht="15" hidden="false" customHeight="false" outlineLevel="0" collapsed="false">
      <c r="A47" s="21"/>
      <c r="B47" s="21"/>
      <c r="C47" s="21"/>
      <c r="D47" s="21"/>
    </row>
    <row r="48" customFormat="false" ht="15" hidden="false" customHeight="false" outlineLevel="0" collapsed="false">
      <c r="A48" s="21"/>
      <c r="B48" s="21"/>
      <c r="C48" s="21"/>
      <c r="D48" s="21"/>
    </row>
    <row r="49" customFormat="false" ht="15" hidden="false" customHeight="false" outlineLevel="0" collapsed="false">
      <c r="A49" s="21"/>
      <c r="B49" s="21"/>
      <c r="C49" s="21"/>
      <c r="D49" s="21"/>
    </row>
    <row r="50" customFormat="false" ht="15" hidden="false" customHeight="false" outlineLevel="0" collapsed="false">
      <c r="A50" s="21"/>
      <c r="B50" s="21"/>
      <c r="C50" s="21"/>
      <c r="D50" s="21"/>
    </row>
    <row r="51" customFormat="false" ht="15" hidden="false" customHeight="false" outlineLevel="0" collapsed="false">
      <c r="A51" s="21"/>
      <c r="B51" s="21"/>
      <c r="C51" s="21"/>
      <c r="D51" s="21"/>
    </row>
    <row r="52" customFormat="false" ht="15" hidden="false" customHeight="false" outlineLevel="0" collapsed="false">
      <c r="A52" s="21"/>
      <c r="B52" s="21"/>
      <c r="C52" s="21"/>
      <c r="D52" s="21"/>
    </row>
    <row r="53" customFormat="false" ht="15" hidden="false" customHeight="false" outlineLevel="0" collapsed="false">
      <c r="A53" s="21"/>
      <c r="B53" s="21"/>
      <c r="C53" s="21"/>
      <c r="D53" s="21"/>
    </row>
    <row r="54" customFormat="false" ht="15" hidden="false" customHeight="false" outlineLevel="0" collapsed="false">
      <c r="A54" s="21"/>
      <c r="B54" s="21"/>
      <c r="C54" s="21"/>
      <c r="D54" s="21"/>
    </row>
    <row r="55" customFormat="false" ht="15" hidden="false" customHeight="false" outlineLevel="0" collapsed="false">
      <c r="A55" s="21"/>
      <c r="B55" s="21"/>
      <c r="C55" s="21"/>
      <c r="D55" s="21"/>
    </row>
    <row r="56" customFormat="false" ht="15" hidden="false" customHeight="false" outlineLevel="0" collapsed="false">
      <c r="A56" s="21"/>
      <c r="B56" s="21"/>
      <c r="C56" s="21"/>
      <c r="D56" s="21"/>
    </row>
    <row r="57" customFormat="false" ht="15" hidden="false" customHeight="false" outlineLevel="0" collapsed="false">
      <c r="A57" s="21"/>
      <c r="B57" s="21"/>
      <c r="C57" s="21"/>
      <c r="D57" s="21"/>
    </row>
    <row r="58" customFormat="false" ht="15" hidden="false" customHeight="false" outlineLevel="0" collapsed="false">
      <c r="A58" s="21"/>
      <c r="B58" s="21"/>
      <c r="C58" s="21"/>
      <c r="D58" s="21"/>
    </row>
    <row r="59" customFormat="false" ht="15" hidden="false" customHeight="false" outlineLevel="0" collapsed="false">
      <c r="A59" s="21"/>
      <c r="B59" s="21"/>
      <c r="C59" s="21"/>
      <c r="D59" s="21"/>
    </row>
    <row r="60" customFormat="false" ht="15" hidden="false" customHeight="false" outlineLevel="0" collapsed="false">
      <c r="A60" s="21"/>
      <c r="B60" s="21"/>
      <c r="C60" s="21"/>
      <c r="D60" s="21"/>
    </row>
  </sheetData>
  <mergeCells count="6">
    <mergeCell ref="C1:D1"/>
    <mergeCell ref="A2:D2"/>
    <mergeCell ref="B4:C4"/>
    <mergeCell ref="B10:C10"/>
    <mergeCell ref="B16:C16"/>
    <mergeCell ref="B21:C21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2026-10-10T06:10:17Z</dcterms:created>
  <dc:creator>openpyxl</dc:creator>
  <dc:description/>
  <dc:language>en-US</dc:language>
  <cp:lastModifiedBy/>
  <dcterms:modified xsi:type="dcterms:W3CDTF">2026-10-10T06:10:19Z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