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66027718-E358-485C-871B-746DA98F2860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Übersicht" sheetId="1" r:id="rId1"/>
    <sheet name="Trainingsplan" sheetId="2" r:id="rId2"/>
    <sheet name="Testspiele" sheetId="3" r:id="rId3"/>
    <sheet name="Konfiguratio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4" i="3" l="1"/>
  <c r="E23" i="3"/>
  <c r="E22" i="3"/>
  <c r="E18" i="3"/>
  <c r="L15" i="3"/>
  <c r="K15" i="3"/>
  <c r="J15" i="3"/>
  <c r="C15" i="3"/>
  <c r="A15" i="3"/>
  <c r="L14" i="3"/>
  <c r="K14" i="3"/>
  <c r="J14" i="3"/>
  <c r="C14" i="3"/>
  <c r="A14" i="3"/>
  <c r="L13" i="3"/>
  <c r="K13" i="3"/>
  <c r="J13" i="3"/>
  <c r="C13" i="3"/>
  <c r="A13" i="3"/>
  <c r="L12" i="3"/>
  <c r="K12" i="3"/>
  <c r="J12" i="3"/>
  <c r="C12" i="3"/>
  <c r="L11" i="3"/>
  <c r="K11" i="3"/>
  <c r="J11" i="3"/>
  <c r="C11" i="3"/>
  <c r="L10" i="3"/>
  <c r="K10" i="3"/>
  <c r="J10" i="3"/>
  <c r="C10" i="3"/>
  <c r="L9" i="3"/>
  <c r="K9" i="3"/>
  <c r="H17" i="1" s="1"/>
  <c r="J9" i="3"/>
  <c r="C9" i="3"/>
  <c r="L8" i="3"/>
  <c r="K8" i="3"/>
  <c r="J8" i="3"/>
  <c r="C8" i="3"/>
  <c r="L7" i="3"/>
  <c r="K7" i="3"/>
  <c r="J7" i="3"/>
  <c r="C7" i="3"/>
  <c r="L6" i="3"/>
  <c r="K6" i="3"/>
  <c r="E25" i="3" s="1"/>
  <c r="J6" i="3"/>
  <c r="C6" i="3"/>
  <c r="L50" i="2"/>
  <c r="I50" i="2"/>
  <c r="H50" i="2"/>
  <c r="J49" i="2"/>
  <c r="D49" i="2"/>
  <c r="C49" i="2"/>
  <c r="B49" i="2"/>
  <c r="J48" i="2"/>
  <c r="D48" i="2"/>
  <c r="C48" i="2"/>
  <c r="B48" i="2"/>
  <c r="J47" i="2"/>
  <c r="D47" i="2"/>
  <c r="C47" i="2"/>
  <c r="B47" i="2"/>
  <c r="J46" i="2"/>
  <c r="D46" i="2"/>
  <c r="C46" i="2"/>
  <c r="B46" i="2"/>
  <c r="J45" i="2"/>
  <c r="D45" i="2"/>
  <c r="C45" i="2"/>
  <c r="B45" i="2"/>
  <c r="J44" i="2"/>
  <c r="D44" i="2"/>
  <c r="C44" i="2"/>
  <c r="B44" i="2"/>
  <c r="J43" i="2"/>
  <c r="K26" i="1" s="1"/>
  <c r="D43" i="2"/>
  <c r="C43" i="2"/>
  <c r="B43" i="2"/>
  <c r="J42" i="2"/>
  <c r="D42" i="2"/>
  <c r="C42" i="2"/>
  <c r="B42" i="2"/>
  <c r="J41" i="2"/>
  <c r="D41" i="2"/>
  <c r="C41" i="2"/>
  <c r="B41" i="2"/>
  <c r="J40" i="2"/>
  <c r="D40" i="2"/>
  <c r="C40" i="2"/>
  <c r="B40" i="2"/>
  <c r="J39" i="2"/>
  <c r="D39" i="2"/>
  <c r="C39" i="2"/>
  <c r="B39" i="2"/>
  <c r="J38" i="2"/>
  <c r="D38" i="2"/>
  <c r="C38" i="2"/>
  <c r="B38" i="2"/>
  <c r="J37" i="2"/>
  <c r="D37" i="2"/>
  <c r="C37" i="2"/>
  <c r="B37" i="2"/>
  <c r="J36" i="2"/>
  <c r="D36" i="2"/>
  <c r="C36" i="2"/>
  <c r="B36" i="2"/>
  <c r="J35" i="2"/>
  <c r="D35" i="2"/>
  <c r="C35" i="2"/>
  <c r="B35" i="2"/>
  <c r="J34" i="2"/>
  <c r="D34" i="2"/>
  <c r="C34" i="2"/>
  <c r="B34" i="2"/>
  <c r="J33" i="2"/>
  <c r="C26" i="1" s="1"/>
  <c r="D33" i="2"/>
  <c r="C33" i="2"/>
  <c r="B33" i="2"/>
  <c r="J32" i="2"/>
  <c r="D32" i="2"/>
  <c r="C32" i="2"/>
  <c r="B32" i="2"/>
  <c r="J31" i="2"/>
  <c r="D31" i="2"/>
  <c r="C31" i="2"/>
  <c r="B31" i="2"/>
  <c r="J30" i="2"/>
  <c r="D30" i="2"/>
  <c r="C30" i="2"/>
  <c r="B30" i="2"/>
  <c r="J29" i="2"/>
  <c r="D29" i="2"/>
  <c r="C29" i="2"/>
  <c r="B29" i="2"/>
  <c r="J28" i="2"/>
  <c r="D28" i="2"/>
  <c r="C28" i="2"/>
  <c r="B28" i="2"/>
  <c r="J27" i="2"/>
  <c r="D27" i="2"/>
  <c r="C27" i="2"/>
  <c r="B27" i="2"/>
  <c r="J26" i="2"/>
  <c r="D26" i="2"/>
  <c r="C26" i="2"/>
  <c r="B26" i="2"/>
  <c r="J25" i="2"/>
  <c r="D25" i="2"/>
  <c r="C25" i="2"/>
  <c r="B25" i="2"/>
  <c r="J24" i="2"/>
  <c r="D24" i="2"/>
  <c r="C24" i="2"/>
  <c r="B24" i="2"/>
  <c r="J23" i="2"/>
  <c r="I24" i="1" s="1"/>
  <c r="D23" i="2"/>
  <c r="C23" i="2"/>
  <c r="B23" i="2"/>
  <c r="J22" i="2"/>
  <c r="D22" i="2"/>
  <c r="C22" i="2"/>
  <c r="B22" i="2"/>
  <c r="J21" i="2"/>
  <c r="D21" i="2"/>
  <c r="C21" i="2"/>
  <c r="B21" i="2"/>
  <c r="J20" i="2"/>
  <c r="D20" i="2"/>
  <c r="C20" i="2"/>
  <c r="B20" i="2"/>
  <c r="J19" i="2"/>
  <c r="D19" i="2"/>
  <c r="C19" i="2"/>
  <c r="B19" i="2"/>
  <c r="J18" i="2"/>
  <c r="D18" i="2"/>
  <c r="C18" i="2"/>
  <c r="B18" i="2"/>
  <c r="J17" i="2"/>
  <c r="D17" i="2"/>
  <c r="C17" i="2"/>
  <c r="B17" i="2"/>
  <c r="J16" i="2"/>
  <c r="D16" i="2"/>
  <c r="C16" i="2"/>
  <c r="B16" i="2"/>
  <c r="J15" i="2"/>
  <c r="D15" i="2"/>
  <c r="C15" i="2"/>
  <c r="B15" i="2"/>
  <c r="J14" i="2"/>
  <c r="D14" i="2"/>
  <c r="C14" i="2"/>
  <c r="B14" i="2"/>
  <c r="J13" i="2"/>
  <c r="D13" i="2"/>
  <c r="C13" i="2"/>
  <c r="B13" i="2"/>
  <c r="J12" i="2"/>
  <c r="D12" i="2"/>
  <c r="C12" i="2"/>
  <c r="B12" i="2"/>
  <c r="J11" i="2"/>
  <c r="D11" i="2"/>
  <c r="C11" i="2"/>
  <c r="B11" i="2"/>
  <c r="J10" i="2"/>
  <c r="D10" i="2"/>
  <c r="C10" i="2"/>
  <c r="B10" i="2"/>
  <c r="J9" i="2"/>
  <c r="D9" i="2"/>
  <c r="E25" i="1" s="1"/>
  <c r="C9" i="2"/>
  <c r="B9" i="2"/>
  <c r="J8" i="2"/>
  <c r="B17" i="1" s="1"/>
  <c r="D8" i="2"/>
  <c r="C25" i="1" s="1"/>
  <c r="C8" i="2"/>
  <c r="B8" i="2"/>
  <c r="D6" i="2"/>
  <c r="B6" i="2"/>
  <c r="F5" i="2"/>
  <c r="B5" i="2"/>
  <c r="K25" i="1"/>
  <c r="I25" i="1"/>
  <c r="E17" i="1"/>
  <c r="E13" i="1"/>
  <c r="B13" i="1"/>
  <c r="H9" i="1"/>
  <c r="B9" i="1"/>
  <c r="I6" i="1"/>
  <c r="F6" i="1"/>
  <c r="C6" i="1"/>
  <c r="I26" i="1" l="1"/>
  <c r="C27" i="1"/>
  <c r="J50" i="2"/>
  <c r="D23" i="1"/>
  <c r="D27" i="1"/>
  <c r="E23" i="1"/>
  <c r="E27" i="1"/>
  <c r="C23" i="1"/>
  <c r="I23" i="1"/>
  <c r="C28" i="1"/>
  <c r="E20" i="3"/>
  <c r="H13" i="1"/>
  <c r="D24" i="1"/>
  <c r="E19" i="3"/>
  <c r="E21" i="3"/>
  <c r="D26" i="1"/>
  <c r="K23" i="1"/>
  <c r="E28" i="1"/>
  <c r="E24" i="1"/>
  <c r="K24" i="1"/>
  <c r="D28" i="1"/>
  <c r="C24" i="1"/>
  <c r="E26" i="1"/>
  <c r="D25" i="1"/>
  <c r="E9" i="1"/>
</calcChain>
</file>

<file path=xl/sharedStrings.xml><?xml version="1.0" encoding="utf-8"?>
<sst xmlns="http://schemas.openxmlformats.org/spreadsheetml/2006/main" count="296" uniqueCount="144">
  <si>
    <t>VORBEREITUNGSPLAN  ·  FUSSBALL</t>
  </si>
  <si>
    <t>Saisonvorbereitung – Übersicht &amp; Kennzahlen</t>
  </si>
  <si>
    <t>VEREIN</t>
  </si>
  <si>
    <t>SAISON</t>
  </si>
  <si>
    <t>TRAINER</t>
  </si>
  <si>
    <t>TAGE BIS SAISONSTART</t>
  </si>
  <si>
    <t>VORBEREITUNGSWOCHEN</t>
  </si>
  <si>
    <t>TRAININGSEINHEITEN</t>
  </si>
  <si>
    <t>TESTSPIELE</t>
  </si>
  <si>
    <t>TRAININGSMINUTEN</t>
  </si>
  <si>
    <t>GESAMTBELASTUNG</t>
  </si>
  <si>
    <t>Ø BELASTUNG / WOCHE</t>
  </si>
  <si>
    <t>Ø INTENSITÄT</t>
  </si>
  <si>
    <t>BILANZ (S–U–N)</t>
  </si>
  <si>
    <t>BELASTUNG JE WOCHE</t>
  </si>
  <si>
    <t>BELASTUNG JE PHASE</t>
  </si>
  <si>
    <t>Woche</t>
  </si>
  <si>
    <t>Belastung</t>
  </si>
  <si>
    <t>Minuten</t>
  </si>
  <si>
    <t>Einheiten</t>
  </si>
  <si>
    <t>Phase</t>
  </si>
  <si>
    <t>Anteil</t>
  </si>
  <si>
    <t>Woche 1</t>
  </si>
  <si>
    <t>Grundlagenphase</t>
  </si>
  <si>
    <t>Woche 2</t>
  </si>
  <si>
    <t>Aufbauphase</t>
  </si>
  <si>
    <t>Woche 3</t>
  </si>
  <si>
    <t>Spezifische Phase</t>
  </si>
  <si>
    <t>Woche 4</t>
  </si>
  <si>
    <t>Feinschliff</t>
  </si>
  <si>
    <t>Woche 5</t>
  </si>
  <si>
    <t>Woche 6</t>
  </si>
  <si>
    <t>Hinweis: Belastung = Dauer (Min) × Intensität (1–5). Alle Kennzahlen aktualisieren sich automatisch aus den Blättern „Trainingsplan" und „Testspiele".</t>
  </si>
  <si>
    <t>Saisonvorbereitung – Trainingssteuerung nach Wochen und Phasen</t>
  </si>
  <si>
    <t>Verein:</t>
  </si>
  <si>
    <t>Saison:</t>
  </si>
  <si>
    <t>Legende Intensität:</t>
  </si>
  <si>
    <t>1 locker · 3 mittel · 5 sehr hoch</t>
  </si>
  <si>
    <t>Zeitraum:</t>
  </si>
  <si>
    <t>–</t>
  </si>
  <si>
    <t>Datum</t>
  </si>
  <si>
    <t>Tag</t>
  </si>
  <si>
    <t>KW</t>
  </si>
  <si>
    <t>Vorb.-Woche</t>
  </si>
  <si>
    <t>Trainingsart</t>
  </si>
  <si>
    <t>Schwerpunkt</t>
  </si>
  <si>
    <t>Dauer (Min)</t>
  </si>
  <si>
    <t>Intensität (1–5)</t>
  </si>
  <si>
    <t>Ort</t>
  </si>
  <si>
    <t>Anwesend</t>
  </si>
  <si>
    <t>Notizen</t>
  </si>
  <si>
    <t>Leistungstest</t>
  </si>
  <si>
    <t>Leistungsdiagnostik &amp; Laktattest</t>
  </si>
  <si>
    <t>Sportplatz Platz 1</t>
  </si>
  <si>
    <t>Ausdauer</t>
  </si>
  <si>
    <t>Grundlagenausdauer (Dauerlauf)</t>
  </si>
  <si>
    <t>Waldstrecke</t>
  </si>
  <si>
    <t>Intervallläufe</t>
  </si>
  <si>
    <t>Taktik</t>
  </si>
  <si>
    <t>Defensivverhalten im Verbund</t>
  </si>
  <si>
    <t>Kraft</t>
  </si>
  <si>
    <t>Stabilisation &amp; Rumpf</t>
  </si>
  <si>
    <t>Kraftraum</t>
  </si>
  <si>
    <t>Testspiel</t>
  </si>
  <si>
    <t>Testspiel gegen TSV Musterstadt</t>
  </si>
  <si>
    <t>Auswärts</t>
  </si>
  <si>
    <t>Ruhetag</t>
  </si>
  <si>
    <t>Tempoläufe mit Ball</t>
  </si>
  <si>
    <t>Technik</t>
  </si>
  <si>
    <t>Passspiel &amp; Ballkontrolle</t>
  </si>
  <si>
    <t>Offensives Pressing</t>
  </si>
  <si>
    <t>Kraftausdauer Zirkel</t>
  </si>
  <si>
    <t>Testspiel gegen SV Beispieldorf</t>
  </si>
  <si>
    <t>Trainingslager</t>
  </si>
  <si>
    <t>Trainingslager – Doppeleinheit</t>
  </si>
  <si>
    <t>Trainingslager – Taktikblock</t>
  </si>
  <si>
    <t>Umschaltspiel</t>
  </si>
  <si>
    <t>Testspiel gegen SG Muster/Vorlage</t>
  </si>
  <si>
    <t>Regeneration</t>
  </si>
  <si>
    <t>Regeneration &amp; Mobilität</t>
  </si>
  <si>
    <t>Sportplatz Platz 2</t>
  </si>
  <si>
    <t>Spielaufbau von hinten</t>
  </si>
  <si>
    <t>Standardsituationen</t>
  </si>
  <si>
    <t>Maximalkraft Beine</t>
  </si>
  <si>
    <t>Testspiel gegen VfL Beispielheim</t>
  </si>
  <si>
    <t>Spielform</t>
  </si>
  <si>
    <t>Positionsspiel 7 gegen 7</t>
  </si>
  <si>
    <t>Kunstrasenplatz</t>
  </si>
  <si>
    <t>Testspiel gegen SpVgg Mustertal</t>
  </si>
  <si>
    <t>Torschusstraining</t>
  </si>
  <si>
    <t>Lockeres Auslaufen</t>
  </si>
  <si>
    <t>Gesamt</t>
  </si>
  <si>
    <t>Ø / Summe</t>
  </si>
  <si>
    <t>TESTSPIELE  ·  VORBEREITUNG</t>
  </si>
  <si>
    <t>Vorbereitungsspiele mit automatischer Bilanz</t>
  </si>
  <si>
    <t>Nr.</t>
  </si>
  <si>
    <t>Gegner</t>
  </si>
  <si>
    <t>Heim/Ausw.</t>
  </si>
  <si>
    <t>Anstoß</t>
  </si>
  <si>
    <t>Spielstätte</t>
  </si>
  <si>
    <t>Tore (eigen)</t>
  </si>
  <si>
    <t>Tore (Gegner)</t>
  </si>
  <si>
    <t>Ergebnis</t>
  </si>
  <si>
    <t>Resultat</t>
  </si>
  <si>
    <t>Tordiff.</t>
  </si>
  <si>
    <t>TSV Musterstadt</t>
  </si>
  <si>
    <t>Heim</t>
  </si>
  <si>
    <t>Erste Standortbestimmung</t>
  </si>
  <si>
    <t>SV Beispieldorf</t>
  </si>
  <si>
    <t>Sportgelände Beispieldorf</t>
  </si>
  <si>
    <t>Viel rotiert</t>
  </si>
  <si>
    <t>SG Muster/Vorlage</t>
  </si>
  <si>
    <t>Im Trainingslager</t>
  </si>
  <si>
    <t>VfL Beispielheim</t>
  </si>
  <si>
    <t>Abschluss Trainingslager</t>
  </si>
  <si>
    <t>SpVgg Mustertal</t>
  </si>
  <si>
    <t>Taktik getestet</t>
  </si>
  <si>
    <t>1. FC Schablone</t>
  </si>
  <si>
    <t>Generalprobe</t>
  </si>
  <si>
    <t>FC Platzhalten 07</t>
  </si>
  <si>
    <t>Kunstrasen Schablone</t>
  </si>
  <si>
    <t>Letzter Test</t>
  </si>
  <si>
    <t>BILANZ VORBEREITUNG</t>
  </si>
  <si>
    <t>Spiele</t>
  </si>
  <si>
    <t>Siege</t>
  </si>
  <si>
    <t>Unentschieden</t>
  </si>
  <si>
    <t>Niederlagen</t>
  </si>
  <si>
    <t>Tore erzielt</t>
  </si>
  <si>
    <t>Tore kassiert</t>
  </si>
  <si>
    <t>Tordifferenz</t>
  </si>
  <si>
    <t>Punkte (3/1/0)</t>
  </si>
  <si>
    <t>KONFIGURATION</t>
  </si>
  <si>
    <t>Stammdaten</t>
  </si>
  <si>
    <t>Verein / Mannschaft</t>
  </si>
  <si>
    <t>SV Musterstadt 1920</t>
  </si>
  <si>
    <t>Saison</t>
  </si>
  <si>
    <t>2026/27</t>
  </si>
  <si>
    <t>Trainer / Verantwortlich</t>
  </si>
  <si>
    <t>M. Mustermann</t>
  </si>
  <si>
    <t>Vorbereitungsbeginn</t>
  </si>
  <si>
    <t>Erstes Pflichtspiel (Saisonstart)</t>
  </si>
  <si>
    <t>→ Blau hinterlegte Zellen anpassen. Die übrigen Blätter rechnen automatisch.</t>
  </si>
  <si>
    <t>Auswahllisten (Grundlage der Dropdown-Menüs)</t>
  </si>
  <si>
    <t>Heim/Auswärts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</si>
</sst>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dd\.mm\.yyyy"/>
    <numFmt numFmtId="167" formatCode="hh:mm"/>
  </numFmts>
  <fonts count="24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1"/>
      <color rgb="FFFFFFFF"/>
      <name val="Calibri"/>
      <charset val="1"/>
    </font>
    <font>
      <b/>
      <sz val="8"/>
      <color rgb="FF6C7E86"/>
      <name val="Calibri"/>
      <charset val="1"/>
    </font>
    <font>
      <b/>
      <sz val="12"/>
      <color rgb="FF16323D"/>
      <name val="Calibri"/>
      <charset val="1"/>
    </font>
    <font>
      <b/>
      <sz val="8.5"/>
      <color rgb="FF6C7E86"/>
      <name val="Calibri"/>
      <charset val="1"/>
    </font>
    <font>
      <b/>
      <sz val="22"/>
      <color rgb="FFE8A33D"/>
      <name val="Calibri"/>
      <charset val="1"/>
    </font>
    <font>
      <b/>
      <sz val="22"/>
      <color rgb="FF123B4F"/>
      <name val="Calibri"/>
      <charset val="1"/>
    </font>
    <font>
      <b/>
      <sz val="22"/>
      <color rgb="FF1F8A70"/>
      <name val="Calibri"/>
      <charset val="1"/>
    </font>
    <font>
      <b/>
      <sz val="11"/>
      <color rgb="FFFFFFFF"/>
      <name val="Calibri"/>
      <charset val="1"/>
    </font>
    <font>
      <b/>
      <sz val="10"/>
      <color rgb="FFFFFFFF"/>
      <name val="Calibri"/>
      <charset val="1"/>
    </font>
    <font>
      <sz val="10"/>
      <color rgb="FF16323D"/>
      <name val="Calibri"/>
      <charset val="1"/>
    </font>
    <font>
      <i/>
      <sz val="9"/>
      <color rgb="FF6C7E86"/>
      <name val="Calibri"/>
      <charset val="1"/>
    </font>
    <font>
      <b/>
      <sz val="20"/>
      <color rgb="FFFFFFFF"/>
      <name val="Calibri"/>
      <charset val="1"/>
    </font>
    <font>
      <sz val="10"/>
      <color rgb="FFFFFFFF"/>
      <name val="Calibri"/>
      <charset val="1"/>
    </font>
    <font>
      <b/>
      <sz val="9"/>
      <color rgb="FF6C7E86"/>
      <name val="Calibri"/>
      <charset val="1"/>
    </font>
    <font>
      <b/>
      <sz val="10"/>
      <color rgb="FF16323D"/>
      <name val="Calibri"/>
      <charset val="1"/>
    </font>
    <font>
      <i/>
      <sz val="10"/>
      <color rgb="FF6C7E86"/>
      <name val="Calibri"/>
      <charset val="1"/>
    </font>
    <font>
      <b/>
      <sz val="9"/>
      <color rgb="FFFFFFFF"/>
      <name val="Calibri"/>
      <charset val="1"/>
    </font>
    <font>
      <b/>
      <sz val="18"/>
      <color rgb="FFFFFFFF"/>
      <name val="Calibri"/>
      <charset val="1"/>
    </font>
    <font>
      <b/>
      <sz val="11"/>
      <color rgb="FF123B4F"/>
      <name val="Calibri"/>
      <charset val="1"/>
    </font>
    <font>
      <b/>
      <sz val="14"/>
      <color rgb="FFFFFFFF"/>
      <name val="Calibri"/>
      <charset val="1"/>
    </font>
    <font>
      <sz val="10"/>
      <color rgb="FF6C7E86"/>
      <name val="Calibri"/>
      <charset val="1"/>
    </font>
    <font>
      <b/>
      <sz val="11"/>
      <color rgb="FF16323D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23B4F"/>
        <bgColor rgb="FF16323D"/>
      </patternFill>
    </fill>
    <fill>
      <patternFill patternType="solid">
        <fgColor rgb="FF1F8A70"/>
        <bgColor rgb="FF008080"/>
      </patternFill>
    </fill>
    <fill>
      <patternFill patternType="solid">
        <fgColor rgb="FFFFFFFF"/>
        <bgColor rgb="FFF6F9FA"/>
      </patternFill>
    </fill>
    <fill>
      <patternFill patternType="solid">
        <fgColor rgb="FF0C2A38"/>
        <bgColor rgb="FF16323D"/>
      </patternFill>
    </fill>
    <fill>
      <patternFill patternType="solid">
        <fgColor rgb="FFF6F9FA"/>
        <bgColor rgb="FFFFFFFF"/>
      </patternFill>
    </fill>
    <fill>
      <patternFill patternType="solid">
        <fgColor rgb="FFDCE9F5"/>
        <bgColor rgb="FFCDE9D7"/>
      </patternFill>
    </fill>
  </fills>
  <borders count="8">
    <border>
      <left/>
      <right/>
      <top/>
      <bottom/>
      <diagonal/>
    </border>
    <border>
      <left style="thin">
        <color rgb="FFCBD8DD"/>
      </left>
      <right style="thin">
        <color rgb="FFCBD8DD"/>
      </right>
      <top style="thick">
        <color rgb="FFE8A33D"/>
      </top>
      <bottom/>
      <diagonal/>
    </border>
    <border>
      <left style="thin">
        <color rgb="FFCBD8DD"/>
      </left>
      <right style="thin">
        <color rgb="FFCBD8DD"/>
      </right>
      <top style="thick">
        <color rgb="FF123B4F"/>
      </top>
      <bottom/>
      <diagonal/>
    </border>
    <border>
      <left style="thin">
        <color rgb="FFCBD8DD"/>
      </left>
      <right style="thin">
        <color rgb="FFCBD8DD"/>
      </right>
      <top/>
      <bottom style="thin">
        <color rgb="FFCBD8DD"/>
      </bottom>
      <diagonal/>
    </border>
    <border>
      <left style="thin">
        <color rgb="FFCBD8DD"/>
      </left>
      <right style="thin">
        <color rgb="FFCBD8DD"/>
      </right>
      <top style="thick">
        <color rgb="FF1F8A70"/>
      </top>
      <bottom/>
      <diagonal/>
    </border>
    <border>
      <left style="thin">
        <color rgb="FFCBD8DD"/>
      </left>
      <right style="thin">
        <color rgb="FFCBD8DD"/>
      </right>
      <top style="thin">
        <color rgb="FFCBD8DD"/>
      </top>
      <bottom style="thin">
        <color rgb="FFCBD8DD"/>
      </bottom>
      <diagonal/>
    </border>
    <border>
      <left style="thin">
        <color rgb="FFCBD8DD"/>
      </left>
      <right style="thin">
        <color rgb="FFCBD8DD"/>
      </right>
      <top style="medium">
        <color rgb="FF123B4F"/>
      </top>
      <bottom style="thin">
        <color rgb="FFCBD8DD"/>
      </bottom>
      <diagonal/>
    </border>
    <border>
      <left/>
      <right/>
      <top/>
      <bottom style="hair">
        <color rgb="FFCBD8DD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1" fillId="4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6" fillId="4" borderId="3" xfId="0" applyFont="1" applyFill="1" applyBorder="1" applyAlignment="1">
      <alignment horizontal="left" vertical="center" indent="1"/>
    </xf>
    <xf numFmtId="164" fontId="7" fillId="4" borderId="3" xfId="0" applyNumberFormat="1" applyFont="1" applyFill="1" applyBorder="1" applyAlignment="1">
      <alignment horizontal="left" vertical="center" indent="1"/>
    </xf>
    <xf numFmtId="1" fontId="8" fillId="4" borderId="3" xfId="0" applyNumberFormat="1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left" vertical="center" indent="1"/>
    </xf>
    <xf numFmtId="1" fontId="7" fillId="4" borderId="3" xfId="0" applyNumberFormat="1" applyFont="1" applyFill="1" applyBorder="1" applyAlignment="1">
      <alignment horizontal="left" vertical="center" indent="1"/>
    </xf>
    <xf numFmtId="1" fontId="6" fillId="4" borderId="3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10" fillId="5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166" fontId="16" fillId="0" borderId="0" xfId="0" applyNumberFormat="1" applyFont="1"/>
    <xf numFmtId="0" fontId="0" fillId="0" borderId="0" xfId="0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166" fontId="11" fillId="4" borderId="5" xfId="0" applyNumberFormat="1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 wrapText="1"/>
    </xf>
    <xf numFmtId="166" fontId="11" fillId="6" borderId="5" xfId="0" applyNumberFormat="1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 wrapText="1"/>
    </xf>
    <xf numFmtId="166" fontId="17" fillId="4" borderId="5" xfId="0" applyNumberFormat="1" applyFont="1" applyFill="1" applyBorder="1" applyAlignment="1">
      <alignment horizontal="left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/>
    </xf>
    <xf numFmtId="0" fontId="17" fillId="4" borderId="5" xfId="0" applyFont="1" applyFill="1" applyBorder="1" applyAlignment="1">
      <alignment horizontal="left" vertical="center" wrapText="1"/>
    </xf>
    <xf numFmtId="166" fontId="17" fillId="6" borderId="6" xfId="0" applyNumberFormat="1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 wrapText="1"/>
    </xf>
    <xf numFmtId="166" fontId="17" fillId="6" borderId="5" xfId="0" applyNumberFormat="1" applyFont="1" applyFill="1" applyBorder="1" applyAlignment="1">
      <alignment horizontal="left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left" vertical="center"/>
    </xf>
    <xf numFmtId="0" fontId="17" fillId="6" borderId="5" xfId="0" applyFont="1" applyFill="1" applyBorder="1" applyAlignment="1">
      <alignment horizontal="left" vertical="center" wrapText="1"/>
    </xf>
    <xf numFmtId="166" fontId="17" fillId="4" borderId="6" xfId="0" applyNumberFormat="1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0" fillId="2" borderId="5" xfId="0" applyFill="1" applyBorder="1"/>
    <xf numFmtId="167" fontId="11" fillId="4" borderId="5" xfId="0" applyNumberFormat="1" applyFont="1" applyFill="1" applyBorder="1" applyAlignment="1">
      <alignment horizontal="center" vertical="center"/>
    </xf>
    <xf numFmtId="167" fontId="11" fillId="6" borderId="5" xfId="0" applyNumberFormat="1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0" borderId="0" xfId="0" applyFont="1"/>
    <xf numFmtId="0" fontId="22" fillId="0" borderId="7" xfId="0" applyFont="1" applyBorder="1" applyAlignment="1">
      <alignment horizontal="left" vertical="center"/>
    </xf>
    <xf numFmtId="0" fontId="23" fillId="7" borderId="5" xfId="0" applyFont="1" applyFill="1" applyBorder="1" applyAlignment="1">
      <alignment horizontal="left" vertical="center"/>
    </xf>
    <xf numFmtId="166" fontId="23" fillId="7" borderId="5" xfId="0" applyNumberFormat="1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center" vertical="center"/>
    </xf>
    <xf numFmtId="165" fontId="11" fillId="4" borderId="5" xfId="0" applyNumberFormat="1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165" fontId="11" fillId="6" borderId="5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16" fillId="0" borderId="0" xfId="0" applyFont="1"/>
    <xf numFmtId="0" fontId="15" fillId="0" borderId="0" xfId="0" applyFont="1"/>
    <xf numFmtId="0" fontId="10" fillId="2" borderId="5" xfId="0" applyFont="1" applyFill="1" applyBorder="1" applyAlignment="1">
      <alignment horizontal="right" vertical="center" indent="1"/>
    </xf>
    <xf numFmtId="0" fontId="19" fillId="2" borderId="0" xfId="0" applyFont="1" applyFill="1" applyAlignment="1">
      <alignment horizontal="left" vertical="center" indent="1"/>
    </xf>
    <xf numFmtId="0" fontId="11" fillId="6" borderId="5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</cellXfs>
  <cellStyles count="1">
    <cellStyle name="Standard" xfId="0" builtinId="0"/>
  </cellStyles>
  <dxfs count="4">
    <dxf>
      <font>
        <b/>
        <sz val="10"/>
        <color rgb="FFA33317"/>
        <name val="Calibri"/>
        <charset val="1"/>
      </font>
      <fill>
        <patternFill>
          <bgColor rgb="FFF6D2C6"/>
        </patternFill>
      </fill>
    </dxf>
    <dxf>
      <font>
        <b/>
        <sz val="10"/>
        <color rgb="FF8A6400"/>
        <name val="Calibri"/>
        <charset val="1"/>
      </font>
      <fill>
        <patternFill>
          <bgColor rgb="FFFBECC6"/>
        </patternFill>
      </fill>
    </dxf>
    <dxf>
      <font>
        <b/>
        <sz val="10"/>
        <color rgb="FF1E6B46"/>
        <name val="Calibri"/>
        <charset val="1"/>
      </font>
      <fill>
        <patternFill>
          <bgColor rgb="FFCDE9D7"/>
        </patternFill>
      </fill>
    </dxf>
    <dxf>
      <font>
        <b/>
        <sz val="10"/>
        <color rgb="FFA5631B"/>
        <name val="Calibri"/>
        <charset val="1"/>
      </font>
      <fill>
        <patternFill>
          <bgColor rgb="FFFDEF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00"/>
      <rgbColor rgb="FF800080"/>
      <rgbColor rgb="FF1E6B46"/>
      <rgbColor rgb="FFD9D9D9"/>
      <rgbColor rgb="FF878787"/>
      <rgbColor rgb="FF9999FF"/>
      <rgbColor rgb="FFA5631B"/>
      <rgbColor rgb="FFFDEFD8"/>
      <rgbColor rgb="FFDCE9F5"/>
      <rgbColor rgb="FF660066"/>
      <rgbColor rgb="FFFF8080"/>
      <rgbColor rgb="FF0066CC"/>
      <rgbColor rgb="FFCBD8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9FA"/>
      <rgbColor rgb="FFCDE9D7"/>
      <rgbColor rgb="FFFBECC6"/>
      <rgbColor rgb="FF99CCFF"/>
      <rgbColor rgb="FFFF99CC"/>
      <rgbColor rgb="FFCC99FF"/>
      <rgbColor rgb="FFF6D2C6"/>
      <rgbColor rgb="FF3366FF"/>
      <rgbColor rgb="FF33CCCC"/>
      <rgbColor rgb="FF99CC00"/>
      <rgbColor rgb="FFFFCC00"/>
      <rgbColor rgb="FFE8A33D"/>
      <rgbColor rgb="FFFF6600"/>
      <rgbColor rgb="FF6C7E86"/>
      <rgbColor rgb="FF969696"/>
      <rgbColor rgb="FF123B4F"/>
      <rgbColor rgb="FF1F8A70"/>
      <rgbColor rgb="FF0C2A38"/>
      <rgbColor rgb="FF333300"/>
      <rgbColor rgb="FFA33317"/>
      <rgbColor rgb="FF993366"/>
      <rgbColor rgb="FF333399"/>
      <rgbColor rgb="FF1632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Belastung je Woche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Übersicht!$C$22</c:f>
              <c:strCache>
                <c:ptCount val="1"/>
                <c:pt idx="0">
                  <c:v>Belastung</c:v>
                </c:pt>
              </c:strCache>
            </c:strRef>
          </c:tx>
          <c:spPr>
            <a:solidFill>
              <a:srgbClr val="1F8A70"/>
            </a:solidFill>
            <a:ln w="9360">
              <a:solidFill>
                <a:srgbClr val="1F8A7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Übersicht!$B$23:$B$28</c:f>
              <c:strCache>
                <c:ptCount val="6"/>
                <c:pt idx="0">
                  <c:v>Woche 1</c:v>
                </c:pt>
                <c:pt idx="1">
                  <c:v>Woche 2</c:v>
                </c:pt>
                <c:pt idx="2">
                  <c:v>Woche 3</c:v>
                </c:pt>
                <c:pt idx="3">
                  <c:v>Woche 4</c:v>
                </c:pt>
                <c:pt idx="4">
                  <c:v>Woche 5</c:v>
                </c:pt>
                <c:pt idx="5">
                  <c:v>Woche 6</c:v>
                </c:pt>
              </c:strCache>
            </c:strRef>
          </c:cat>
          <c:val>
            <c:numRef>
              <c:f>Übersicht!$C$23:$C$28</c:f>
              <c:numCache>
                <c:formatCode>General</c:formatCode>
                <c:ptCount val="6"/>
                <c:pt idx="0">
                  <c:v>1635</c:v>
                </c:pt>
                <c:pt idx="1">
                  <c:v>1595</c:v>
                </c:pt>
                <c:pt idx="2">
                  <c:v>3015</c:v>
                </c:pt>
                <c:pt idx="3">
                  <c:v>1425</c:v>
                </c:pt>
                <c:pt idx="4">
                  <c:v>1510</c:v>
                </c:pt>
                <c:pt idx="5">
                  <c:v>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62-4BF3-8792-7CA84EF98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4710"/>
        <c:axId val="45170328"/>
      </c:barChart>
      <c:catAx>
        <c:axId val="44347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5170328"/>
        <c:crosses val="autoZero"/>
        <c:auto val="1"/>
        <c:lblAlgn val="ctr"/>
        <c:lblOffset val="100"/>
        <c:noMultiLvlLbl val="0"/>
      </c:catAx>
      <c:valAx>
        <c:axId val="4517032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Belastungspunkte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434710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chemeClr val="accent3">
        <a:lumMod val="20000"/>
        <a:lumOff val="80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Belastung je Phase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Übersicht!$I$22</c:f>
              <c:strCache>
                <c:ptCount val="1"/>
                <c:pt idx="0">
                  <c:v>Belastung</c:v>
                </c:pt>
              </c:strCache>
            </c:strRef>
          </c:tx>
          <c:spPr>
            <a:solidFill>
              <a:srgbClr val="E8A33D"/>
            </a:solidFill>
            <a:ln w="9360">
              <a:solidFill>
                <a:srgbClr val="E8A33D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Übersicht!$H$23:$H$26</c:f>
              <c:strCache>
                <c:ptCount val="4"/>
                <c:pt idx="0">
                  <c:v>Grundlagenphase</c:v>
                </c:pt>
                <c:pt idx="1">
                  <c:v>Aufbauphase</c:v>
                </c:pt>
                <c:pt idx="2">
                  <c:v>Spezifische Phase</c:v>
                </c:pt>
                <c:pt idx="3">
                  <c:v>Feinschliff</c:v>
                </c:pt>
              </c:strCache>
            </c:strRef>
          </c:cat>
          <c:val>
            <c:numRef>
              <c:f>Übersicht!$I$23:$I$26</c:f>
              <c:numCache>
                <c:formatCode>General</c:formatCode>
                <c:ptCount val="4"/>
                <c:pt idx="0">
                  <c:v>3230</c:v>
                </c:pt>
                <c:pt idx="1">
                  <c:v>3015</c:v>
                </c:pt>
                <c:pt idx="2">
                  <c:v>2935</c:v>
                </c:pt>
                <c:pt idx="3">
                  <c:v>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3-48B4-AE4A-C0722E1A5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402050"/>
        <c:axId val="6392059"/>
      </c:barChart>
      <c:catAx>
        <c:axId val="7040205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392059"/>
        <c:crosses val="autoZero"/>
        <c:auto val="1"/>
        <c:lblAlgn val="ctr"/>
        <c:lblOffset val="100"/>
        <c:noMultiLvlLbl val="0"/>
      </c:catAx>
      <c:valAx>
        <c:axId val="6392059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402050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chemeClr val="accent3">
        <a:lumMod val="20000"/>
        <a:lumOff val="80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5</xdr:col>
      <xdr:colOff>923925</xdr:colOff>
      <xdr:row>42</xdr:row>
      <xdr:rowOff>115200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19050</xdr:colOff>
      <xdr:row>29</xdr:row>
      <xdr:rowOff>0</xdr:rowOff>
    </xdr:from>
    <xdr:to>
      <xdr:col>12</xdr:col>
      <xdr:colOff>28576</xdr:colOff>
      <xdr:row>42</xdr:row>
      <xdr:rowOff>115200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6"/>
  <sheetViews>
    <sheetView showGridLines="0" tabSelected="1" zoomScaleNormal="100" workbookViewId="0">
      <selection activeCell="H49" sqref="H49"/>
    </sheetView>
  </sheetViews>
  <sheetFormatPr baseColWidth="10" defaultColWidth="8.7109375" defaultRowHeight="15" x14ac:dyDescent="0.25"/>
  <cols>
    <col min="1" max="1" width="2.42578125" customWidth="1"/>
    <col min="2" max="2" width="20" customWidth="1"/>
    <col min="3" max="3" width="14" customWidth="1"/>
    <col min="4" max="4" width="7.7109375" bestFit="1" customWidth="1"/>
    <col min="5" max="5" width="20" customWidth="1"/>
    <col min="6" max="6" width="14" customWidth="1"/>
    <col min="7" max="7" width="3" customWidth="1"/>
    <col min="8" max="8" width="20" customWidth="1"/>
    <col min="9" max="9" width="14" customWidth="1"/>
    <col min="10" max="10" width="3" customWidth="1"/>
    <col min="11" max="11" width="16" customWidth="1"/>
    <col min="12" max="12" width="12" customWidth="1"/>
  </cols>
  <sheetData>
    <row r="2" spans="2:12" ht="21.7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21.7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8" customHeight="1" x14ac:dyDescent="0.25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2:12" ht="19.5" customHeight="1" x14ac:dyDescent="0.25">
      <c r="B6" s="15" t="s">
        <v>2</v>
      </c>
      <c r="C6" s="12" t="str">
        <f>Konfiguration!C5</f>
        <v>SV Musterstadt 1920</v>
      </c>
      <c r="D6" s="12"/>
      <c r="E6" s="15" t="s">
        <v>3</v>
      </c>
      <c r="F6" s="12" t="str">
        <f>Konfiguration!C6</f>
        <v>2026/27</v>
      </c>
      <c r="G6" s="12"/>
      <c r="H6" s="15" t="s">
        <v>4</v>
      </c>
      <c r="I6" s="12" t="str">
        <f>Konfiguration!C7</f>
        <v>M. Mustermann</v>
      </c>
      <c r="J6" s="12"/>
      <c r="K6" s="12"/>
      <c r="L6" s="12"/>
    </row>
    <row r="8" spans="2:12" ht="15.75" customHeight="1" x14ac:dyDescent="0.25">
      <c r="B8" s="11" t="s">
        <v>5</v>
      </c>
      <c r="C8" s="11"/>
      <c r="E8" s="10" t="s">
        <v>6</v>
      </c>
      <c r="F8" s="10"/>
      <c r="H8" s="10" t="s">
        <v>7</v>
      </c>
      <c r="I8" s="10"/>
    </row>
    <row r="9" spans="2:12" ht="30" customHeight="1" x14ac:dyDescent="0.25">
      <c r="B9" s="9">
        <f ca="1">MAX(0,Konfiguration!C9-TODAY())</f>
        <v>0</v>
      </c>
      <c r="C9" s="9"/>
      <c r="E9" s="8">
        <f>MAX(Trainingsplan!D8:D49)</f>
        <v>6</v>
      </c>
      <c r="F9" s="8"/>
      <c r="H9" s="8">
        <f>COUNTIFS(Trainingsplan!F8:F49,"&lt;&gt;Ruhetag",Trainingsplan!F8:F49,"&lt;&gt;Testspiel",Trainingsplan!F8:F49,"&lt;&gt;Leistungstest",Trainingsplan!H8:H49,"&gt;0")</f>
        <v>26</v>
      </c>
      <c r="I9" s="8"/>
    </row>
    <row r="12" spans="2:12" ht="15.75" customHeight="1" x14ac:dyDescent="0.25">
      <c r="B12" s="7" t="s">
        <v>8</v>
      </c>
      <c r="C12" s="7"/>
      <c r="E12" s="10" t="s">
        <v>9</v>
      </c>
      <c r="F12" s="10"/>
      <c r="H12" s="10" t="s">
        <v>10</v>
      </c>
      <c r="I12" s="10"/>
    </row>
    <row r="13" spans="2:12" ht="30" customHeight="1" x14ac:dyDescent="0.25">
      <c r="B13" s="6">
        <f>COUNT(Testspiele!H6:H15)</f>
        <v>7</v>
      </c>
      <c r="C13" s="6"/>
      <c r="E13" s="8">
        <f>SUMIFS(Trainingsplan!H8:H49,Trainingsplan!F8:F49,"&lt;&gt;Testspiel")</f>
        <v>2290</v>
      </c>
      <c r="F13" s="8"/>
      <c r="H13" s="8">
        <f>SUM(Trainingsplan!J8:J49)</f>
        <v>9852</v>
      </c>
      <c r="I13" s="8"/>
    </row>
    <row r="16" spans="2:12" ht="15.75" customHeight="1" x14ac:dyDescent="0.25">
      <c r="B16" s="7" t="s">
        <v>11</v>
      </c>
      <c r="C16" s="7"/>
      <c r="E16" s="10" t="s">
        <v>12</v>
      </c>
      <c r="F16" s="10"/>
      <c r="H16" s="11" t="s">
        <v>13</v>
      </c>
      <c r="I16" s="11"/>
    </row>
    <row r="17" spans="2:12" ht="30" customHeight="1" x14ac:dyDescent="0.25">
      <c r="B17" s="6">
        <f>IFERROR(ROUND(SUM(Trainingsplan!J8:J49)/MAX(Trainingsplan!D8:D49),0),0)</f>
        <v>1642</v>
      </c>
      <c r="C17" s="6"/>
      <c r="E17" s="5">
        <f>IFERROR(ROUND(AVERAGEIF(Trainingsplan!I8:I49,"&gt;0"),1),0)</f>
        <v>3.3</v>
      </c>
      <c r="F17" s="5"/>
      <c r="H17" s="4" t="str">
        <f>COUNTIF(Testspiele!K6:K15,"Sieg")&amp;" – "&amp;COUNTIF(Testspiele!K6:K15,"Unentschieden")&amp;" – "&amp;COUNTIF(Testspiele!K6:K15,"Niederlage")</f>
        <v>5 – 2 – 0</v>
      </c>
      <c r="I17" s="4"/>
    </row>
    <row r="21" spans="2:12" ht="19.5" customHeight="1" x14ac:dyDescent="0.25">
      <c r="B21" s="3" t="s">
        <v>14</v>
      </c>
      <c r="C21" s="3"/>
      <c r="D21" s="3"/>
      <c r="E21" s="3"/>
      <c r="F21" s="3"/>
      <c r="H21" s="3" t="s">
        <v>15</v>
      </c>
      <c r="I21" s="3"/>
      <c r="J21" s="3"/>
      <c r="K21" s="3"/>
      <c r="L21" s="3"/>
    </row>
    <row r="22" spans="2:12" x14ac:dyDescent="0.25">
      <c r="B22" s="16" t="s">
        <v>16</v>
      </c>
      <c r="C22" s="16" t="s">
        <v>17</v>
      </c>
      <c r="D22" s="16" t="s">
        <v>18</v>
      </c>
      <c r="E22" s="16" t="s">
        <v>19</v>
      </c>
      <c r="H22" s="16" t="s">
        <v>20</v>
      </c>
      <c r="I22" s="2" t="s">
        <v>17</v>
      </c>
      <c r="J22" s="2"/>
      <c r="K22" s="2" t="s">
        <v>21</v>
      </c>
      <c r="L22" s="2"/>
    </row>
    <row r="23" spans="2:12" x14ac:dyDescent="0.25">
      <c r="B23" s="17" t="s">
        <v>22</v>
      </c>
      <c r="C23" s="18">
        <f>SUMIF(Trainingsplan!D8:D49,1,Trainingsplan!J8:J49)</f>
        <v>1635</v>
      </c>
      <c r="D23" s="18">
        <f>SUMIFS(Trainingsplan!H8:H49,Trainingsplan!D8:D49,1,Trainingsplan!F8:F49,"&lt;&gt;Testspiel")</f>
        <v>395</v>
      </c>
      <c r="E23" s="18">
        <f>COUNTIFS(Trainingsplan!D8:D49,1,Trainingsplan!F8:F49,"&lt;&gt;Ruhetag",Trainingsplan!F8:F49,"&lt;&gt;Testspiel",Trainingsplan!F8:F49,"&lt;&gt;Leistungstest",Trainingsplan!H8:H49,"&gt;0")</f>
        <v>4</v>
      </c>
      <c r="H23" s="19" t="s">
        <v>23</v>
      </c>
      <c r="I23" s="1">
        <f>SUMIF(Trainingsplan!E8:E49,H23,Trainingsplan!J8:J49)</f>
        <v>3230</v>
      </c>
      <c r="J23" s="1"/>
      <c r="K23" s="57">
        <f>IFERROR(SUMIF(Trainingsplan!E8:E49,H23,Trainingsplan!J8:J49)/SUM(Trainingsplan!J8:J49),0)</f>
        <v>0.32785221274868048</v>
      </c>
      <c r="L23" s="57"/>
    </row>
    <row r="24" spans="2:12" x14ac:dyDescent="0.25">
      <c r="B24" s="19" t="s">
        <v>24</v>
      </c>
      <c r="C24" s="20">
        <f>SUMIF(Trainingsplan!D8:D49,2,Trainingsplan!J8:J49)</f>
        <v>1595</v>
      </c>
      <c r="D24" s="20">
        <f>SUMIFS(Trainingsplan!H8:H49,Trainingsplan!D8:D49,2,Trainingsplan!F8:F49,"&lt;&gt;Testspiel")</f>
        <v>365</v>
      </c>
      <c r="E24" s="20">
        <f>COUNTIFS(Trainingsplan!D8:D49,2,Trainingsplan!F8:F49,"&lt;&gt;Ruhetag",Trainingsplan!F8:F49,"&lt;&gt;Testspiel",Trainingsplan!F8:F49,"&lt;&gt;Leistungstest",Trainingsplan!H8:H49,"&gt;0")</f>
        <v>4</v>
      </c>
      <c r="H24" s="17" t="s">
        <v>25</v>
      </c>
      <c r="I24" s="58">
        <f>SUMIF(Trainingsplan!E8:E49,H24,Trainingsplan!J8:J49)</f>
        <v>3015</v>
      </c>
      <c r="J24" s="58"/>
      <c r="K24" s="59">
        <f>IFERROR(SUMIF(Trainingsplan!E8:E49,H24,Trainingsplan!J8:J49)/SUM(Trainingsplan!J8:J49),0)</f>
        <v>0.30602923264311815</v>
      </c>
      <c r="L24" s="59"/>
    </row>
    <row r="25" spans="2:12" x14ac:dyDescent="0.25">
      <c r="B25" s="17" t="s">
        <v>26</v>
      </c>
      <c r="C25" s="18">
        <f>SUMIF(Trainingsplan!D8:D49,3,Trainingsplan!J8:J49)</f>
        <v>3015</v>
      </c>
      <c r="D25" s="18">
        <f>SUMIFS(Trainingsplan!H8:H49,Trainingsplan!D8:D49,3,Trainingsplan!F8:F49,"&lt;&gt;Testspiel")</f>
        <v>585</v>
      </c>
      <c r="E25" s="18">
        <f>COUNTIFS(Trainingsplan!D8:D49,3,Trainingsplan!F8:F49,"&lt;&gt;Ruhetag",Trainingsplan!F8:F49,"&lt;&gt;Testspiel",Trainingsplan!F8:F49,"&lt;&gt;Leistungstest",Trainingsplan!H8:H49,"&gt;0")</f>
        <v>5</v>
      </c>
      <c r="H25" s="19" t="s">
        <v>27</v>
      </c>
      <c r="I25" s="1">
        <f>SUMIF(Trainingsplan!E8:E49,H25,Trainingsplan!J8:J49)</f>
        <v>2935</v>
      </c>
      <c r="J25" s="1"/>
      <c r="K25" s="57">
        <f>IFERROR(SUMIF(Trainingsplan!E8:E49,H25,Trainingsplan!J8:J49)/SUM(Trainingsplan!J8:J49),0)</f>
        <v>0.29790905399918799</v>
      </c>
      <c r="L25" s="57"/>
    </row>
    <row r="26" spans="2:12" x14ac:dyDescent="0.25">
      <c r="B26" s="19" t="s">
        <v>28</v>
      </c>
      <c r="C26" s="20">
        <f>SUMIF(Trainingsplan!D8:D49,4,Trainingsplan!J8:J49)</f>
        <v>1425</v>
      </c>
      <c r="D26" s="20">
        <f>SUMIFS(Trainingsplan!H8:H49,Trainingsplan!D8:D49,4,Trainingsplan!F8:F49,"&lt;&gt;Testspiel")</f>
        <v>325</v>
      </c>
      <c r="E26" s="20">
        <f>COUNTIFS(Trainingsplan!D8:D49,4,Trainingsplan!F8:F49,"&lt;&gt;Ruhetag",Trainingsplan!F8:F49,"&lt;&gt;Testspiel",Trainingsplan!F8:F49,"&lt;&gt;Leistungstest",Trainingsplan!H8:H49,"&gt;0")</f>
        <v>4</v>
      </c>
      <c r="H26" s="17" t="s">
        <v>29</v>
      </c>
      <c r="I26" s="58">
        <f>SUMIF(Trainingsplan!E8:E49,H26,Trainingsplan!J8:J49)</f>
        <v>672</v>
      </c>
      <c r="J26" s="58"/>
      <c r="K26" s="59">
        <f>IFERROR(SUMIF(Trainingsplan!E8:E49,H26,Trainingsplan!J8:J49)/SUM(Trainingsplan!J8:J49),0)</f>
        <v>6.8209500609013402E-2</v>
      </c>
      <c r="L26" s="59"/>
    </row>
    <row r="27" spans="2:12" x14ac:dyDescent="0.25">
      <c r="B27" s="17" t="s">
        <v>30</v>
      </c>
      <c r="C27" s="18">
        <f>SUMIF(Trainingsplan!D8:D49,5,Trainingsplan!J8:J49)</f>
        <v>1510</v>
      </c>
      <c r="D27" s="18">
        <f>SUMIFS(Trainingsplan!H8:H49,Trainingsplan!D8:D49,5,Trainingsplan!F8:F49,"&lt;&gt;Testspiel")</f>
        <v>325</v>
      </c>
      <c r="E27" s="18">
        <f>COUNTIFS(Trainingsplan!D8:D49,5,Trainingsplan!F8:F49,"&lt;&gt;Ruhetag",Trainingsplan!F8:F49,"&lt;&gt;Testspiel",Trainingsplan!F8:F49,"&lt;&gt;Leistungstest",Trainingsplan!H8:H49,"&gt;0")</f>
        <v>4</v>
      </c>
    </row>
    <row r="28" spans="2:12" x14ac:dyDescent="0.25">
      <c r="B28" s="19" t="s">
        <v>31</v>
      </c>
      <c r="C28" s="20">
        <f>SUMIF(Trainingsplan!D8:D49,6,Trainingsplan!J8:J49)</f>
        <v>672</v>
      </c>
      <c r="D28" s="20">
        <f>SUMIFS(Trainingsplan!H8:H49,Trainingsplan!D8:D49,6,Trainingsplan!F8:F49,"&lt;&gt;Testspiel")</f>
        <v>295</v>
      </c>
      <c r="E28" s="20">
        <f>COUNTIFS(Trainingsplan!D8:D49,6,Trainingsplan!F8:F49,"&lt;&gt;Ruhetag",Trainingsplan!F8:F49,"&lt;&gt;Testspiel",Trainingsplan!F8:F49,"&lt;&gt;Leistungstest",Trainingsplan!H8:H49,"&gt;0")</f>
        <v>5</v>
      </c>
    </row>
    <row r="46" spans="2:12" x14ac:dyDescent="0.25">
      <c r="B46" s="60" t="s">
        <v>32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</row>
  </sheetData>
  <mergeCells count="36">
    <mergeCell ref="B46:L46"/>
    <mergeCell ref="I24:J24"/>
    <mergeCell ref="K24:L24"/>
    <mergeCell ref="I25:J25"/>
    <mergeCell ref="K25:L25"/>
    <mergeCell ref="I26:J26"/>
    <mergeCell ref="K26:L26"/>
    <mergeCell ref="B21:F21"/>
    <mergeCell ref="H21:L21"/>
    <mergeCell ref="I22:J22"/>
    <mergeCell ref="K22:L22"/>
    <mergeCell ref="I23:J23"/>
    <mergeCell ref="K23:L23"/>
    <mergeCell ref="B16:C16"/>
    <mergeCell ref="E16:F16"/>
    <mergeCell ref="H16:I16"/>
    <mergeCell ref="B17:C17"/>
    <mergeCell ref="E17:F17"/>
    <mergeCell ref="H17:I17"/>
    <mergeCell ref="B12:C12"/>
    <mergeCell ref="E12:F12"/>
    <mergeCell ref="H12:I12"/>
    <mergeCell ref="B13:C13"/>
    <mergeCell ref="E13:F13"/>
    <mergeCell ref="H13:I13"/>
    <mergeCell ref="B8:C8"/>
    <mergeCell ref="E8:F8"/>
    <mergeCell ref="H8:I8"/>
    <mergeCell ref="B9:C9"/>
    <mergeCell ref="E9:F9"/>
    <mergeCell ref="H9:I9"/>
    <mergeCell ref="B2:L3"/>
    <mergeCell ref="B4:L4"/>
    <mergeCell ref="C6:D6"/>
    <mergeCell ref="F6:G6"/>
    <mergeCell ref="I6:L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2" width="7" customWidth="1"/>
    <col min="3" max="3" width="6" customWidth="1"/>
    <col min="4" max="4" width="12" customWidth="1"/>
    <col min="5" max="5" width="18" customWidth="1"/>
    <col min="6" max="6" width="15" customWidth="1"/>
    <col min="7" max="7" width="30" customWidth="1"/>
    <col min="8" max="8" width="11" customWidth="1"/>
    <col min="9" max="9" width="14" customWidth="1"/>
    <col min="10" max="10" width="11" customWidth="1"/>
    <col min="11" max="11" width="18" customWidth="1"/>
    <col min="12" max="12" width="10" customWidth="1"/>
    <col min="13" max="13" width="30" customWidth="1"/>
  </cols>
  <sheetData>
    <row r="1" spans="1:13" ht="19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15.75" customHeight="1" x14ac:dyDescent="0.25">
      <c r="A3" s="62" t="s">
        <v>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1:13" x14ac:dyDescent="0.25">
      <c r="A5" s="21" t="s">
        <v>34</v>
      </c>
      <c r="B5" s="63" t="str">
        <f>Konfiguration!C5</f>
        <v>SV Musterstadt 1920</v>
      </c>
      <c r="C5" s="63"/>
      <c r="D5" s="63"/>
      <c r="E5" s="21" t="s">
        <v>35</v>
      </c>
      <c r="F5" s="22" t="str">
        <f>Konfiguration!C6</f>
        <v>2026/27</v>
      </c>
      <c r="H5" s="64" t="s">
        <v>36</v>
      </c>
      <c r="I5" s="64"/>
      <c r="J5" s="60" t="s">
        <v>37</v>
      </c>
      <c r="K5" s="60"/>
      <c r="L5" s="60"/>
      <c r="M5" s="60"/>
    </row>
    <row r="6" spans="1:13" x14ac:dyDescent="0.25">
      <c r="A6" s="21" t="s">
        <v>38</v>
      </c>
      <c r="B6" s="23">
        <f>Konfiguration!C8</f>
        <v>46209</v>
      </c>
      <c r="C6" s="24" t="s">
        <v>39</v>
      </c>
      <c r="D6" s="23">
        <f>Konfiguration!C9</f>
        <v>46250</v>
      </c>
    </row>
    <row r="7" spans="1:13" ht="30" customHeight="1" x14ac:dyDescent="0.25">
      <c r="A7" s="25" t="s">
        <v>40</v>
      </c>
      <c r="B7" s="25" t="s">
        <v>41</v>
      </c>
      <c r="C7" s="25" t="s">
        <v>42</v>
      </c>
      <c r="D7" s="25" t="s">
        <v>43</v>
      </c>
      <c r="E7" s="25" t="s">
        <v>20</v>
      </c>
      <c r="F7" s="25" t="s">
        <v>44</v>
      </c>
      <c r="G7" s="25" t="s">
        <v>45</v>
      </c>
      <c r="H7" s="25" t="s">
        <v>46</v>
      </c>
      <c r="I7" s="25" t="s">
        <v>47</v>
      </c>
      <c r="J7" s="25" t="s">
        <v>17</v>
      </c>
      <c r="K7" s="25" t="s">
        <v>48</v>
      </c>
      <c r="L7" s="25" t="s">
        <v>49</v>
      </c>
      <c r="M7" s="25" t="s">
        <v>50</v>
      </c>
    </row>
    <row r="8" spans="1:13" ht="18" customHeight="1" x14ac:dyDescent="0.25">
      <c r="A8" s="26">
        <v>46209</v>
      </c>
      <c r="B8" s="20" t="str">
        <f t="shared" ref="B8:B49" si="0">CHOOSE(WEEKDAY(A8,2),"Mo","Di","Mi","Do","Fr","Sa","So")</f>
        <v>Mo</v>
      </c>
      <c r="C8" s="20">
        <f t="shared" ref="C8:C49" si="1">_xlfn.ISOWEEKNUM(A8)</f>
        <v>28</v>
      </c>
      <c r="D8" s="20">
        <f>INT((A8-Konfiguration!$C$8)/7)+1</f>
        <v>1</v>
      </c>
      <c r="E8" s="19" t="s">
        <v>23</v>
      </c>
      <c r="F8" s="19" t="s">
        <v>51</v>
      </c>
      <c r="G8" s="27" t="s">
        <v>52</v>
      </c>
      <c r="H8" s="20">
        <v>75</v>
      </c>
      <c r="I8" s="20">
        <v>3</v>
      </c>
      <c r="J8" s="20">
        <f t="shared" ref="J8:J49" si="2">IF(N(H8)*N(I8)=0,"",H8*I8)</f>
        <v>225</v>
      </c>
      <c r="K8" s="19" t="s">
        <v>53</v>
      </c>
      <c r="L8" s="20">
        <v>17</v>
      </c>
      <c r="M8" s="27"/>
    </row>
    <row r="9" spans="1:13" ht="18" customHeight="1" x14ac:dyDescent="0.25">
      <c r="A9" s="28">
        <v>46210</v>
      </c>
      <c r="B9" s="18" t="str">
        <f t="shared" si="0"/>
        <v>Di</v>
      </c>
      <c r="C9" s="18">
        <f t="shared" si="1"/>
        <v>28</v>
      </c>
      <c r="D9" s="18">
        <f>INT((A9-Konfiguration!$C$8)/7)+1</f>
        <v>1</v>
      </c>
      <c r="E9" s="17" t="s">
        <v>23</v>
      </c>
      <c r="F9" s="17" t="s">
        <v>54</v>
      </c>
      <c r="G9" s="29" t="s">
        <v>55</v>
      </c>
      <c r="H9" s="18">
        <v>80</v>
      </c>
      <c r="I9" s="18">
        <v>3</v>
      </c>
      <c r="J9" s="18">
        <f t="shared" si="2"/>
        <v>240</v>
      </c>
      <c r="K9" s="17" t="s">
        <v>56</v>
      </c>
      <c r="L9" s="18">
        <v>18</v>
      </c>
      <c r="M9" s="29"/>
    </row>
    <row r="10" spans="1:13" ht="18" customHeight="1" x14ac:dyDescent="0.25">
      <c r="A10" s="26">
        <v>46211</v>
      </c>
      <c r="B10" s="20" t="str">
        <f t="shared" si="0"/>
        <v>Mi</v>
      </c>
      <c r="C10" s="20">
        <f t="shared" si="1"/>
        <v>28</v>
      </c>
      <c r="D10" s="20">
        <f>INT((A10-Konfiguration!$C$8)/7)+1</f>
        <v>1</v>
      </c>
      <c r="E10" s="19" t="s">
        <v>23</v>
      </c>
      <c r="F10" s="19" t="s">
        <v>54</v>
      </c>
      <c r="G10" s="27" t="s">
        <v>57</v>
      </c>
      <c r="H10" s="20">
        <v>80</v>
      </c>
      <c r="I10" s="20">
        <v>3</v>
      </c>
      <c r="J10" s="20">
        <f t="shared" si="2"/>
        <v>240</v>
      </c>
      <c r="K10" s="19" t="s">
        <v>56</v>
      </c>
      <c r="L10" s="20">
        <v>19</v>
      </c>
      <c r="M10" s="27"/>
    </row>
    <row r="11" spans="1:13" ht="18" customHeight="1" x14ac:dyDescent="0.25">
      <c r="A11" s="28">
        <v>46212</v>
      </c>
      <c r="B11" s="18" t="str">
        <f t="shared" si="0"/>
        <v>Do</v>
      </c>
      <c r="C11" s="18">
        <f t="shared" si="1"/>
        <v>28</v>
      </c>
      <c r="D11" s="18">
        <f>INT((A11-Konfiguration!$C$8)/7)+1</f>
        <v>1</v>
      </c>
      <c r="E11" s="17" t="s">
        <v>23</v>
      </c>
      <c r="F11" s="17" t="s">
        <v>58</v>
      </c>
      <c r="G11" s="29" t="s">
        <v>59</v>
      </c>
      <c r="H11" s="18">
        <v>90</v>
      </c>
      <c r="I11" s="18">
        <v>4</v>
      </c>
      <c r="J11" s="18">
        <f t="shared" si="2"/>
        <v>360</v>
      </c>
      <c r="K11" s="17" t="s">
        <v>53</v>
      </c>
      <c r="L11" s="18">
        <v>20</v>
      </c>
      <c r="M11" s="29"/>
    </row>
    <row r="12" spans="1:13" ht="18" customHeight="1" x14ac:dyDescent="0.25">
      <c r="A12" s="26">
        <v>46213</v>
      </c>
      <c r="B12" s="20" t="str">
        <f t="shared" si="0"/>
        <v>Fr</v>
      </c>
      <c r="C12" s="20">
        <f t="shared" si="1"/>
        <v>28</v>
      </c>
      <c r="D12" s="20">
        <f>INT((A12-Konfiguration!$C$8)/7)+1</f>
        <v>1</v>
      </c>
      <c r="E12" s="19" t="s">
        <v>23</v>
      </c>
      <c r="F12" s="19" t="s">
        <v>60</v>
      </c>
      <c r="G12" s="27" t="s">
        <v>61</v>
      </c>
      <c r="H12" s="20">
        <v>70</v>
      </c>
      <c r="I12" s="20">
        <v>3</v>
      </c>
      <c r="J12" s="20">
        <f t="shared" si="2"/>
        <v>210</v>
      </c>
      <c r="K12" s="19" t="s">
        <v>62</v>
      </c>
      <c r="L12" s="20">
        <v>21</v>
      </c>
      <c r="M12" s="27"/>
    </row>
    <row r="13" spans="1:13" ht="18" customHeight="1" x14ac:dyDescent="0.25">
      <c r="A13" s="28">
        <v>46214</v>
      </c>
      <c r="B13" s="18" t="str">
        <f t="shared" si="0"/>
        <v>Sa</v>
      </c>
      <c r="C13" s="18">
        <f t="shared" si="1"/>
        <v>28</v>
      </c>
      <c r="D13" s="18">
        <f>INT((A13-Konfiguration!$C$8)/7)+1</f>
        <v>1</v>
      </c>
      <c r="E13" s="17" t="s">
        <v>23</v>
      </c>
      <c r="F13" s="17" t="s">
        <v>63</v>
      </c>
      <c r="G13" s="29" t="s">
        <v>64</v>
      </c>
      <c r="H13" s="18">
        <v>90</v>
      </c>
      <c r="I13" s="18">
        <v>4</v>
      </c>
      <c r="J13" s="18">
        <f t="shared" si="2"/>
        <v>360</v>
      </c>
      <c r="K13" s="17" t="s">
        <v>65</v>
      </c>
      <c r="L13" s="18">
        <v>18</v>
      </c>
      <c r="M13" s="29"/>
    </row>
    <row r="14" spans="1:13" ht="18" customHeight="1" x14ac:dyDescent="0.25">
      <c r="A14" s="30">
        <v>46215</v>
      </c>
      <c r="B14" s="31" t="str">
        <f t="shared" si="0"/>
        <v>So</v>
      </c>
      <c r="C14" s="31">
        <f t="shared" si="1"/>
        <v>28</v>
      </c>
      <c r="D14" s="31">
        <f>INT((A14-Konfiguration!$C$8)/7)+1</f>
        <v>1</v>
      </c>
      <c r="E14" s="32" t="s">
        <v>23</v>
      </c>
      <c r="F14" s="32" t="s">
        <v>66</v>
      </c>
      <c r="G14" s="33"/>
      <c r="H14" s="31"/>
      <c r="I14" s="31"/>
      <c r="J14" s="31" t="str">
        <f t="shared" si="2"/>
        <v/>
      </c>
      <c r="K14" s="32"/>
      <c r="L14" s="31"/>
      <c r="M14" s="33"/>
    </row>
    <row r="15" spans="1:13" ht="18" customHeight="1" x14ac:dyDescent="0.25">
      <c r="A15" s="34">
        <v>46216</v>
      </c>
      <c r="B15" s="35" t="str">
        <f t="shared" si="0"/>
        <v>Mo</v>
      </c>
      <c r="C15" s="35">
        <f t="shared" si="1"/>
        <v>29</v>
      </c>
      <c r="D15" s="35">
        <f>INT((A15-Konfiguration!$C$8)/7)+1</f>
        <v>2</v>
      </c>
      <c r="E15" s="36" t="s">
        <v>23</v>
      </c>
      <c r="F15" s="36" t="s">
        <v>66</v>
      </c>
      <c r="G15" s="37"/>
      <c r="H15" s="35"/>
      <c r="I15" s="35"/>
      <c r="J15" s="35" t="str">
        <f t="shared" si="2"/>
        <v/>
      </c>
      <c r="K15" s="36"/>
      <c r="L15" s="35"/>
      <c r="M15" s="37"/>
    </row>
    <row r="16" spans="1:13" ht="18" customHeight="1" x14ac:dyDescent="0.25">
      <c r="A16" s="26">
        <v>46217</v>
      </c>
      <c r="B16" s="20" t="str">
        <f t="shared" si="0"/>
        <v>Di</v>
      </c>
      <c r="C16" s="20">
        <f t="shared" si="1"/>
        <v>29</v>
      </c>
      <c r="D16" s="20">
        <f>INT((A16-Konfiguration!$C$8)/7)+1</f>
        <v>2</v>
      </c>
      <c r="E16" s="19" t="s">
        <v>23</v>
      </c>
      <c r="F16" s="19" t="s">
        <v>54</v>
      </c>
      <c r="G16" s="27" t="s">
        <v>67</v>
      </c>
      <c r="H16" s="20">
        <v>90</v>
      </c>
      <c r="I16" s="20">
        <v>3</v>
      </c>
      <c r="J16" s="20">
        <f t="shared" si="2"/>
        <v>270</v>
      </c>
      <c r="K16" s="19" t="s">
        <v>56</v>
      </c>
      <c r="L16" s="20">
        <v>20</v>
      </c>
      <c r="M16" s="27"/>
    </row>
    <row r="17" spans="1:13" ht="18" customHeight="1" x14ac:dyDescent="0.25">
      <c r="A17" s="28">
        <v>46218</v>
      </c>
      <c r="B17" s="18" t="str">
        <f t="shared" si="0"/>
        <v>Mi</v>
      </c>
      <c r="C17" s="18">
        <f t="shared" si="1"/>
        <v>29</v>
      </c>
      <c r="D17" s="18">
        <f>INT((A17-Konfiguration!$C$8)/7)+1</f>
        <v>2</v>
      </c>
      <c r="E17" s="17" t="s">
        <v>23</v>
      </c>
      <c r="F17" s="17" t="s">
        <v>68</v>
      </c>
      <c r="G17" s="29" t="s">
        <v>69</v>
      </c>
      <c r="H17" s="18">
        <v>95</v>
      </c>
      <c r="I17" s="18">
        <v>3</v>
      </c>
      <c r="J17" s="18">
        <f t="shared" si="2"/>
        <v>285</v>
      </c>
      <c r="K17" s="17" t="s">
        <v>53</v>
      </c>
      <c r="L17" s="18">
        <v>21</v>
      </c>
      <c r="M17" s="29"/>
    </row>
    <row r="18" spans="1:13" ht="18" customHeight="1" x14ac:dyDescent="0.25">
      <c r="A18" s="26">
        <v>46219</v>
      </c>
      <c r="B18" s="20" t="str">
        <f t="shared" si="0"/>
        <v>Do</v>
      </c>
      <c r="C18" s="20">
        <f t="shared" si="1"/>
        <v>29</v>
      </c>
      <c r="D18" s="20">
        <f>INT((A18-Konfiguration!$C$8)/7)+1</f>
        <v>2</v>
      </c>
      <c r="E18" s="19" t="s">
        <v>23</v>
      </c>
      <c r="F18" s="19" t="s">
        <v>58</v>
      </c>
      <c r="G18" s="27" t="s">
        <v>70</v>
      </c>
      <c r="H18" s="20">
        <v>100</v>
      </c>
      <c r="I18" s="20">
        <v>4</v>
      </c>
      <c r="J18" s="20">
        <f t="shared" si="2"/>
        <v>400</v>
      </c>
      <c r="K18" s="19" t="s">
        <v>53</v>
      </c>
      <c r="L18" s="20">
        <v>17</v>
      </c>
      <c r="M18" s="27"/>
    </row>
    <row r="19" spans="1:13" ht="18" customHeight="1" x14ac:dyDescent="0.25">
      <c r="A19" s="28">
        <v>46220</v>
      </c>
      <c r="B19" s="18" t="str">
        <f t="shared" si="0"/>
        <v>Fr</v>
      </c>
      <c r="C19" s="18">
        <f t="shared" si="1"/>
        <v>29</v>
      </c>
      <c r="D19" s="18">
        <f>INT((A19-Konfiguration!$C$8)/7)+1</f>
        <v>2</v>
      </c>
      <c r="E19" s="17" t="s">
        <v>23</v>
      </c>
      <c r="F19" s="17" t="s">
        <v>60</v>
      </c>
      <c r="G19" s="29" t="s">
        <v>71</v>
      </c>
      <c r="H19" s="18">
        <v>80</v>
      </c>
      <c r="I19" s="18">
        <v>3</v>
      </c>
      <c r="J19" s="18">
        <f t="shared" si="2"/>
        <v>240</v>
      </c>
      <c r="K19" s="17" t="s">
        <v>62</v>
      </c>
      <c r="L19" s="18">
        <v>18</v>
      </c>
      <c r="M19" s="29"/>
    </row>
    <row r="20" spans="1:13" ht="18" customHeight="1" x14ac:dyDescent="0.25">
      <c r="A20" s="26">
        <v>46221</v>
      </c>
      <c r="B20" s="20" t="str">
        <f t="shared" si="0"/>
        <v>Sa</v>
      </c>
      <c r="C20" s="20">
        <f t="shared" si="1"/>
        <v>29</v>
      </c>
      <c r="D20" s="20">
        <f>INT((A20-Konfiguration!$C$8)/7)+1</f>
        <v>2</v>
      </c>
      <c r="E20" s="19" t="s">
        <v>23</v>
      </c>
      <c r="F20" s="19" t="s">
        <v>63</v>
      </c>
      <c r="G20" s="27" t="s">
        <v>72</v>
      </c>
      <c r="H20" s="20">
        <v>100</v>
      </c>
      <c r="I20" s="20">
        <v>4</v>
      </c>
      <c r="J20" s="20">
        <f t="shared" si="2"/>
        <v>400</v>
      </c>
      <c r="K20" s="19" t="s">
        <v>65</v>
      </c>
      <c r="L20" s="20">
        <v>18</v>
      </c>
      <c r="M20" s="27"/>
    </row>
    <row r="21" spans="1:13" ht="18" customHeight="1" x14ac:dyDescent="0.25">
      <c r="A21" s="38">
        <v>46222</v>
      </c>
      <c r="B21" s="39" t="str">
        <f t="shared" si="0"/>
        <v>So</v>
      </c>
      <c r="C21" s="39">
        <f t="shared" si="1"/>
        <v>29</v>
      </c>
      <c r="D21" s="39">
        <f>INT((A21-Konfiguration!$C$8)/7)+1</f>
        <v>2</v>
      </c>
      <c r="E21" s="40" t="s">
        <v>23</v>
      </c>
      <c r="F21" s="40" t="s">
        <v>66</v>
      </c>
      <c r="G21" s="41"/>
      <c r="H21" s="39"/>
      <c r="I21" s="39"/>
      <c r="J21" s="39" t="str">
        <f t="shared" si="2"/>
        <v/>
      </c>
      <c r="K21" s="40"/>
      <c r="L21" s="39"/>
      <c r="M21" s="41"/>
    </row>
    <row r="22" spans="1:13" ht="18" customHeight="1" x14ac:dyDescent="0.25">
      <c r="A22" s="42">
        <v>46223</v>
      </c>
      <c r="B22" s="43" t="str">
        <f t="shared" si="0"/>
        <v>Mo</v>
      </c>
      <c r="C22" s="43">
        <f t="shared" si="1"/>
        <v>30</v>
      </c>
      <c r="D22" s="43">
        <f>INT((A22-Konfiguration!$C$8)/7)+1</f>
        <v>3</v>
      </c>
      <c r="E22" s="44" t="s">
        <v>25</v>
      </c>
      <c r="F22" s="44" t="s">
        <v>66</v>
      </c>
      <c r="G22" s="45"/>
      <c r="H22" s="43"/>
      <c r="I22" s="43"/>
      <c r="J22" s="43" t="str">
        <f t="shared" si="2"/>
        <v/>
      </c>
      <c r="K22" s="44"/>
      <c r="L22" s="43"/>
      <c r="M22" s="45"/>
    </row>
    <row r="23" spans="1:13" ht="18" customHeight="1" x14ac:dyDescent="0.25">
      <c r="A23" s="28">
        <v>46224</v>
      </c>
      <c r="B23" s="18" t="str">
        <f t="shared" si="0"/>
        <v>Di</v>
      </c>
      <c r="C23" s="18">
        <f t="shared" si="1"/>
        <v>30</v>
      </c>
      <c r="D23" s="18">
        <f>INT((A23-Konfiguration!$C$8)/7)+1</f>
        <v>3</v>
      </c>
      <c r="E23" s="17" t="s">
        <v>25</v>
      </c>
      <c r="F23" s="17" t="s">
        <v>73</v>
      </c>
      <c r="G23" s="29" t="s">
        <v>74</v>
      </c>
      <c r="H23" s="18">
        <v>150</v>
      </c>
      <c r="I23" s="18">
        <v>5</v>
      </c>
      <c r="J23" s="18">
        <f t="shared" si="2"/>
        <v>750</v>
      </c>
      <c r="K23" s="17" t="s">
        <v>73</v>
      </c>
      <c r="L23" s="18">
        <v>17</v>
      </c>
      <c r="M23" s="29"/>
    </row>
    <row r="24" spans="1:13" ht="18" customHeight="1" x14ac:dyDescent="0.25">
      <c r="A24" s="26">
        <v>46225</v>
      </c>
      <c r="B24" s="20" t="str">
        <f t="shared" si="0"/>
        <v>Mi</v>
      </c>
      <c r="C24" s="20">
        <f t="shared" si="1"/>
        <v>30</v>
      </c>
      <c r="D24" s="20">
        <f>INT((A24-Konfiguration!$C$8)/7)+1</f>
        <v>3</v>
      </c>
      <c r="E24" s="19" t="s">
        <v>25</v>
      </c>
      <c r="F24" s="19" t="s">
        <v>73</v>
      </c>
      <c r="G24" s="27" t="s">
        <v>75</v>
      </c>
      <c r="H24" s="20">
        <v>150</v>
      </c>
      <c r="I24" s="20">
        <v>5</v>
      </c>
      <c r="J24" s="20">
        <f t="shared" si="2"/>
        <v>750</v>
      </c>
      <c r="K24" s="19" t="s">
        <v>73</v>
      </c>
      <c r="L24" s="20">
        <v>18</v>
      </c>
      <c r="M24" s="27"/>
    </row>
    <row r="25" spans="1:13" ht="18" customHeight="1" x14ac:dyDescent="0.25">
      <c r="A25" s="28">
        <v>46226</v>
      </c>
      <c r="B25" s="18" t="str">
        <f t="shared" si="0"/>
        <v>Do</v>
      </c>
      <c r="C25" s="18">
        <f t="shared" si="1"/>
        <v>30</v>
      </c>
      <c r="D25" s="18">
        <f>INT((A25-Konfiguration!$C$8)/7)+1</f>
        <v>3</v>
      </c>
      <c r="E25" s="17" t="s">
        <v>25</v>
      </c>
      <c r="F25" s="17" t="s">
        <v>73</v>
      </c>
      <c r="G25" s="29" t="s">
        <v>74</v>
      </c>
      <c r="H25" s="18">
        <v>150</v>
      </c>
      <c r="I25" s="18">
        <v>5</v>
      </c>
      <c r="J25" s="18">
        <f t="shared" si="2"/>
        <v>750</v>
      </c>
      <c r="K25" s="17" t="s">
        <v>73</v>
      </c>
      <c r="L25" s="18">
        <v>19</v>
      </c>
      <c r="M25" s="29"/>
    </row>
    <row r="26" spans="1:13" ht="18" customHeight="1" x14ac:dyDescent="0.25">
      <c r="A26" s="26">
        <v>46227</v>
      </c>
      <c r="B26" s="20" t="str">
        <f t="shared" si="0"/>
        <v>Fr</v>
      </c>
      <c r="C26" s="20">
        <f t="shared" si="1"/>
        <v>30</v>
      </c>
      <c r="D26" s="20">
        <f>INT((A26-Konfiguration!$C$8)/7)+1</f>
        <v>3</v>
      </c>
      <c r="E26" s="19" t="s">
        <v>25</v>
      </c>
      <c r="F26" s="19" t="s">
        <v>58</v>
      </c>
      <c r="G26" s="27" t="s">
        <v>76</v>
      </c>
      <c r="H26" s="20">
        <v>90</v>
      </c>
      <c r="I26" s="20">
        <v>4</v>
      </c>
      <c r="J26" s="20">
        <f t="shared" si="2"/>
        <v>360</v>
      </c>
      <c r="K26" s="19" t="s">
        <v>53</v>
      </c>
      <c r="L26" s="20">
        <v>20</v>
      </c>
      <c r="M26" s="27"/>
    </row>
    <row r="27" spans="1:13" ht="18" customHeight="1" x14ac:dyDescent="0.25">
      <c r="A27" s="28">
        <v>46228</v>
      </c>
      <c r="B27" s="18" t="str">
        <f t="shared" si="0"/>
        <v>Sa</v>
      </c>
      <c r="C27" s="18">
        <f t="shared" si="1"/>
        <v>30</v>
      </c>
      <c r="D27" s="18">
        <f>INT((A27-Konfiguration!$C$8)/7)+1</f>
        <v>3</v>
      </c>
      <c r="E27" s="17" t="s">
        <v>25</v>
      </c>
      <c r="F27" s="17" t="s">
        <v>63</v>
      </c>
      <c r="G27" s="29" t="s">
        <v>77</v>
      </c>
      <c r="H27" s="18">
        <v>90</v>
      </c>
      <c r="I27" s="18">
        <v>4</v>
      </c>
      <c r="J27" s="18">
        <f t="shared" si="2"/>
        <v>360</v>
      </c>
      <c r="K27" s="17" t="s">
        <v>65</v>
      </c>
      <c r="L27" s="18">
        <v>18</v>
      </c>
      <c r="M27" s="29"/>
    </row>
    <row r="28" spans="1:13" ht="18" customHeight="1" x14ac:dyDescent="0.25">
      <c r="A28" s="26">
        <v>46229</v>
      </c>
      <c r="B28" s="20" t="str">
        <f t="shared" si="0"/>
        <v>So</v>
      </c>
      <c r="C28" s="20">
        <f t="shared" si="1"/>
        <v>30</v>
      </c>
      <c r="D28" s="20">
        <f>INT((A28-Konfiguration!$C$8)/7)+1</f>
        <v>3</v>
      </c>
      <c r="E28" s="19" t="s">
        <v>25</v>
      </c>
      <c r="F28" s="19" t="s">
        <v>78</v>
      </c>
      <c r="G28" s="27" t="s">
        <v>79</v>
      </c>
      <c r="H28" s="20">
        <v>45</v>
      </c>
      <c r="I28" s="20">
        <v>1</v>
      </c>
      <c r="J28" s="20">
        <f t="shared" si="2"/>
        <v>45</v>
      </c>
      <c r="K28" s="19" t="s">
        <v>80</v>
      </c>
      <c r="L28" s="20">
        <v>17</v>
      </c>
      <c r="M28" s="27"/>
    </row>
    <row r="29" spans="1:13" ht="18" customHeight="1" x14ac:dyDescent="0.25">
      <c r="A29" s="34">
        <v>46230</v>
      </c>
      <c r="B29" s="35" t="str">
        <f t="shared" si="0"/>
        <v>Mo</v>
      </c>
      <c r="C29" s="35">
        <f t="shared" si="1"/>
        <v>31</v>
      </c>
      <c r="D29" s="35">
        <f>INT((A29-Konfiguration!$C$8)/7)+1</f>
        <v>4</v>
      </c>
      <c r="E29" s="36" t="s">
        <v>27</v>
      </c>
      <c r="F29" s="36" t="s">
        <v>66</v>
      </c>
      <c r="G29" s="37"/>
      <c r="H29" s="35"/>
      <c r="I29" s="35"/>
      <c r="J29" s="35" t="str">
        <f t="shared" si="2"/>
        <v/>
      </c>
      <c r="K29" s="36"/>
      <c r="L29" s="35"/>
      <c r="M29" s="37"/>
    </row>
    <row r="30" spans="1:13" ht="18" customHeight="1" x14ac:dyDescent="0.25">
      <c r="A30" s="26">
        <v>46231</v>
      </c>
      <c r="B30" s="20" t="str">
        <f t="shared" si="0"/>
        <v>Di</v>
      </c>
      <c r="C30" s="20">
        <f t="shared" si="1"/>
        <v>31</v>
      </c>
      <c r="D30" s="20">
        <f>INT((A30-Konfiguration!$C$8)/7)+1</f>
        <v>4</v>
      </c>
      <c r="E30" s="19" t="s">
        <v>27</v>
      </c>
      <c r="F30" s="19" t="s">
        <v>54</v>
      </c>
      <c r="G30" s="27" t="s">
        <v>55</v>
      </c>
      <c r="H30" s="20">
        <v>80</v>
      </c>
      <c r="I30" s="20">
        <v>3</v>
      </c>
      <c r="J30" s="20">
        <f t="shared" si="2"/>
        <v>240</v>
      </c>
      <c r="K30" s="19" t="s">
        <v>56</v>
      </c>
      <c r="L30" s="20">
        <v>19</v>
      </c>
      <c r="M30" s="27"/>
    </row>
    <row r="31" spans="1:13" ht="18" customHeight="1" x14ac:dyDescent="0.25">
      <c r="A31" s="28">
        <v>46232</v>
      </c>
      <c r="B31" s="18" t="str">
        <f t="shared" si="0"/>
        <v>Mi</v>
      </c>
      <c r="C31" s="18">
        <f t="shared" si="1"/>
        <v>31</v>
      </c>
      <c r="D31" s="18">
        <f>INT((A31-Konfiguration!$C$8)/7)+1</f>
        <v>4</v>
      </c>
      <c r="E31" s="17" t="s">
        <v>27</v>
      </c>
      <c r="F31" s="17" t="s">
        <v>58</v>
      </c>
      <c r="G31" s="29" t="s">
        <v>81</v>
      </c>
      <c r="H31" s="18">
        <v>85</v>
      </c>
      <c r="I31" s="18">
        <v>3</v>
      </c>
      <c r="J31" s="18">
        <f t="shared" si="2"/>
        <v>255</v>
      </c>
      <c r="K31" s="17" t="s">
        <v>53</v>
      </c>
      <c r="L31" s="18">
        <v>20</v>
      </c>
      <c r="M31" s="29"/>
    </row>
    <row r="32" spans="1:13" ht="18" customHeight="1" x14ac:dyDescent="0.25">
      <c r="A32" s="26">
        <v>46233</v>
      </c>
      <c r="B32" s="20" t="str">
        <f t="shared" si="0"/>
        <v>Do</v>
      </c>
      <c r="C32" s="20">
        <f t="shared" si="1"/>
        <v>31</v>
      </c>
      <c r="D32" s="20">
        <f>INT((A32-Konfiguration!$C$8)/7)+1</f>
        <v>4</v>
      </c>
      <c r="E32" s="19" t="s">
        <v>27</v>
      </c>
      <c r="F32" s="19" t="s">
        <v>58</v>
      </c>
      <c r="G32" s="27" t="s">
        <v>82</v>
      </c>
      <c r="H32" s="20">
        <v>90</v>
      </c>
      <c r="I32" s="20">
        <v>4</v>
      </c>
      <c r="J32" s="20">
        <f t="shared" si="2"/>
        <v>360</v>
      </c>
      <c r="K32" s="19" t="s">
        <v>53</v>
      </c>
      <c r="L32" s="20">
        <v>21</v>
      </c>
      <c r="M32" s="27"/>
    </row>
    <row r="33" spans="1:13" ht="18" customHeight="1" x14ac:dyDescent="0.25">
      <c r="A33" s="28">
        <v>46234</v>
      </c>
      <c r="B33" s="18" t="str">
        <f t="shared" si="0"/>
        <v>Fr</v>
      </c>
      <c r="C33" s="18">
        <f t="shared" si="1"/>
        <v>31</v>
      </c>
      <c r="D33" s="18">
        <f>INT((A33-Konfiguration!$C$8)/7)+1</f>
        <v>4</v>
      </c>
      <c r="E33" s="17" t="s">
        <v>27</v>
      </c>
      <c r="F33" s="17" t="s">
        <v>60</v>
      </c>
      <c r="G33" s="29" t="s">
        <v>83</v>
      </c>
      <c r="H33" s="18">
        <v>70</v>
      </c>
      <c r="I33" s="18">
        <v>3</v>
      </c>
      <c r="J33" s="18">
        <f t="shared" si="2"/>
        <v>210</v>
      </c>
      <c r="K33" s="17" t="s">
        <v>62</v>
      </c>
      <c r="L33" s="18">
        <v>17</v>
      </c>
      <c r="M33" s="29"/>
    </row>
    <row r="34" spans="1:13" ht="18" customHeight="1" x14ac:dyDescent="0.25">
      <c r="A34" s="26">
        <v>46235</v>
      </c>
      <c r="B34" s="20" t="str">
        <f t="shared" si="0"/>
        <v>Sa</v>
      </c>
      <c r="C34" s="20">
        <f t="shared" si="1"/>
        <v>31</v>
      </c>
      <c r="D34" s="20">
        <f>INT((A34-Konfiguration!$C$8)/7)+1</f>
        <v>4</v>
      </c>
      <c r="E34" s="19" t="s">
        <v>27</v>
      </c>
      <c r="F34" s="19" t="s">
        <v>63</v>
      </c>
      <c r="G34" s="27" t="s">
        <v>84</v>
      </c>
      <c r="H34" s="20">
        <v>90</v>
      </c>
      <c r="I34" s="20">
        <v>4</v>
      </c>
      <c r="J34" s="20">
        <f t="shared" si="2"/>
        <v>360</v>
      </c>
      <c r="K34" s="19" t="s">
        <v>65</v>
      </c>
      <c r="L34" s="20">
        <v>18</v>
      </c>
      <c r="M34" s="27"/>
    </row>
    <row r="35" spans="1:13" ht="18" customHeight="1" x14ac:dyDescent="0.25">
      <c r="A35" s="38">
        <v>46236</v>
      </c>
      <c r="B35" s="39" t="str">
        <f t="shared" si="0"/>
        <v>So</v>
      </c>
      <c r="C35" s="39">
        <f t="shared" si="1"/>
        <v>31</v>
      </c>
      <c r="D35" s="39">
        <f>INT((A35-Konfiguration!$C$8)/7)+1</f>
        <v>4</v>
      </c>
      <c r="E35" s="40" t="s">
        <v>27</v>
      </c>
      <c r="F35" s="40" t="s">
        <v>66</v>
      </c>
      <c r="G35" s="41"/>
      <c r="H35" s="39"/>
      <c r="I35" s="39"/>
      <c r="J35" s="39" t="str">
        <f t="shared" si="2"/>
        <v/>
      </c>
      <c r="K35" s="40"/>
      <c r="L35" s="39"/>
      <c r="M35" s="41"/>
    </row>
    <row r="36" spans="1:13" ht="18" customHeight="1" x14ac:dyDescent="0.25">
      <c r="A36" s="42">
        <v>46237</v>
      </c>
      <c r="B36" s="43" t="str">
        <f t="shared" si="0"/>
        <v>Mo</v>
      </c>
      <c r="C36" s="43">
        <f t="shared" si="1"/>
        <v>32</v>
      </c>
      <c r="D36" s="43">
        <f>INT((A36-Konfiguration!$C$8)/7)+1</f>
        <v>5</v>
      </c>
      <c r="E36" s="44" t="s">
        <v>27</v>
      </c>
      <c r="F36" s="44" t="s">
        <v>66</v>
      </c>
      <c r="G36" s="45"/>
      <c r="H36" s="43"/>
      <c r="I36" s="43"/>
      <c r="J36" s="43" t="str">
        <f t="shared" si="2"/>
        <v/>
      </c>
      <c r="K36" s="44"/>
      <c r="L36" s="43"/>
      <c r="M36" s="45"/>
    </row>
    <row r="37" spans="1:13" ht="18" customHeight="1" x14ac:dyDescent="0.25">
      <c r="A37" s="28">
        <v>46238</v>
      </c>
      <c r="B37" s="18" t="str">
        <f t="shared" si="0"/>
        <v>Di</v>
      </c>
      <c r="C37" s="18">
        <f t="shared" si="1"/>
        <v>32</v>
      </c>
      <c r="D37" s="18">
        <f>INT((A37-Konfiguration!$C$8)/7)+1</f>
        <v>5</v>
      </c>
      <c r="E37" s="17" t="s">
        <v>27</v>
      </c>
      <c r="F37" s="17" t="s">
        <v>54</v>
      </c>
      <c r="G37" s="29" t="s">
        <v>57</v>
      </c>
      <c r="H37" s="18">
        <v>80</v>
      </c>
      <c r="I37" s="18">
        <v>3</v>
      </c>
      <c r="J37" s="18">
        <f t="shared" si="2"/>
        <v>240</v>
      </c>
      <c r="K37" s="17" t="s">
        <v>56</v>
      </c>
      <c r="L37" s="18">
        <v>21</v>
      </c>
      <c r="M37" s="29"/>
    </row>
    <row r="38" spans="1:13" ht="18" customHeight="1" x14ac:dyDescent="0.25">
      <c r="A38" s="26">
        <v>46239</v>
      </c>
      <c r="B38" s="20" t="str">
        <f t="shared" si="0"/>
        <v>Mi</v>
      </c>
      <c r="C38" s="20">
        <f t="shared" si="1"/>
        <v>32</v>
      </c>
      <c r="D38" s="20">
        <f>INT((A38-Konfiguration!$C$8)/7)+1</f>
        <v>5</v>
      </c>
      <c r="E38" s="19" t="s">
        <v>27</v>
      </c>
      <c r="F38" s="19" t="s">
        <v>85</v>
      </c>
      <c r="G38" s="27" t="s">
        <v>86</v>
      </c>
      <c r="H38" s="20">
        <v>85</v>
      </c>
      <c r="I38" s="20">
        <v>4</v>
      </c>
      <c r="J38" s="20">
        <f t="shared" si="2"/>
        <v>340</v>
      </c>
      <c r="K38" s="19" t="s">
        <v>87</v>
      </c>
      <c r="L38" s="20">
        <v>17</v>
      </c>
      <c r="M38" s="27"/>
    </row>
    <row r="39" spans="1:13" ht="18" customHeight="1" x14ac:dyDescent="0.25">
      <c r="A39" s="28">
        <v>46240</v>
      </c>
      <c r="B39" s="18" t="str">
        <f t="shared" si="0"/>
        <v>Do</v>
      </c>
      <c r="C39" s="18">
        <f t="shared" si="1"/>
        <v>32</v>
      </c>
      <c r="D39" s="18">
        <f>INT((A39-Konfiguration!$C$8)/7)+1</f>
        <v>5</v>
      </c>
      <c r="E39" s="17" t="s">
        <v>27</v>
      </c>
      <c r="F39" s="17" t="s">
        <v>58</v>
      </c>
      <c r="G39" s="29" t="s">
        <v>59</v>
      </c>
      <c r="H39" s="18">
        <v>90</v>
      </c>
      <c r="I39" s="18">
        <v>4</v>
      </c>
      <c r="J39" s="18">
        <f t="shared" si="2"/>
        <v>360</v>
      </c>
      <c r="K39" s="17" t="s">
        <v>53</v>
      </c>
      <c r="L39" s="18">
        <v>18</v>
      </c>
      <c r="M39" s="29"/>
    </row>
    <row r="40" spans="1:13" ht="18" customHeight="1" x14ac:dyDescent="0.25">
      <c r="A40" s="26">
        <v>46241</v>
      </c>
      <c r="B40" s="20" t="str">
        <f t="shared" si="0"/>
        <v>Fr</v>
      </c>
      <c r="C40" s="20">
        <f t="shared" si="1"/>
        <v>32</v>
      </c>
      <c r="D40" s="20">
        <f>INT((A40-Konfiguration!$C$8)/7)+1</f>
        <v>5</v>
      </c>
      <c r="E40" s="19" t="s">
        <v>27</v>
      </c>
      <c r="F40" s="19" t="s">
        <v>60</v>
      </c>
      <c r="G40" s="27" t="s">
        <v>61</v>
      </c>
      <c r="H40" s="20">
        <v>70</v>
      </c>
      <c r="I40" s="20">
        <v>3</v>
      </c>
      <c r="J40" s="20">
        <f t="shared" si="2"/>
        <v>210</v>
      </c>
      <c r="K40" s="19" t="s">
        <v>62</v>
      </c>
      <c r="L40" s="20">
        <v>19</v>
      </c>
      <c r="M40" s="27"/>
    </row>
    <row r="41" spans="1:13" ht="18" customHeight="1" x14ac:dyDescent="0.25">
      <c r="A41" s="28">
        <v>46242</v>
      </c>
      <c r="B41" s="18" t="str">
        <f t="shared" si="0"/>
        <v>Sa</v>
      </c>
      <c r="C41" s="18">
        <f t="shared" si="1"/>
        <v>32</v>
      </c>
      <c r="D41" s="18">
        <f>INT((A41-Konfiguration!$C$8)/7)+1</f>
        <v>5</v>
      </c>
      <c r="E41" s="17" t="s">
        <v>27</v>
      </c>
      <c r="F41" s="17" t="s">
        <v>63</v>
      </c>
      <c r="G41" s="29" t="s">
        <v>88</v>
      </c>
      <c r="H41" s="18">
        <v>90</v>
      </c>
      <c r="I41" s="18">
        <v>4</v>
      </c>
      <c r="J41" s="18">
        <f t="shared" si="2"/>
        <v>360</v>
      </c>
      <c r="K41" s="17" t="s">
        <v>65</v>
      </c>
      <c r="L41" s="18">
        <v>18</v>
      </c>
      <c r="M41" s="29"/>
    </row>
    <row r="42" spans="1:13" ht="18" customHeight="1" x14ac:dyDescent="0.25">
      <c r="A42" s="30">
        <v>46243</v>
      </c>
      <c r="B42" s="31" t="str">
        <f t="shared" si="0"/>
        <v>So</v>
      </c>
      <c r="C42" s="31">
        <f t="shared" si="1"/>
        <v>32</v>
      </c>
      <c r="D42" s="31">
        <f>INT((A42-Konfiguration!$C$8)/7)+1</f>
        <v>5</v>
      </c>
      <c r="E42" s="32" t="s">
        <v>27</v>
      </c>
      <c r="F42" s="32" t="s">
        <v>66</v>
      </c>
      <c r="G42" s="33"/>
      <c r="H42" s="31"/>
      <c r="I42" s="31"/>
      <c r="J42" s="31" t="str">
        <f t="shared" si="2"/>
        <v/>
      </c>
      <c r="K42" s="32"/>
      <c r="L42" s="31"/>
      <c r="M42" s="33"/>
    </row>
    <row r="43" spans="1:13" ht="18" customHeight="1" x14ac:dyDescent="0.25">
      <c r="A43" s="34">
        <v>46244</v>
      </c>
      <c r="B43" s="35" t="str">
        <f t="shared" si="0"/>
        <v>Mo</v>
      </c>
      <c r="C43" s="35">
        <f t="shared" si="1"/>
        <v>33</v>
      </c>
      <c r="D43" s="35">
        <f>INT((A43-Konfiguration!$C$8)/7)+1</f>
        <v>6</v>
      </c>
      <c r="E43" s="36" t="s">
        <v>29</v>
      </c>
      <c r="F43" s="36" t="s">
        <v>66</v>
      </c>
      <c r="G43" s="37"/>
      <c r="H43" s="35"/>
      <c r="I43" s="35"/>
      <c r="J43" s="35" t="str">
        <f t="shared" si="2"/>
        <v/>
      </c>
      <c r="K43" s="36"/>
      <c r="L43" s="35"/>
      <c r="M43" s="37"/>
    </row>
    <row r="44" spans="1:13" ht="18" customHeight="1" x14ac:dyDescent="0.25">
      <c r="A44" s="26">
        <v>46245</v>
      </c>
      <c r="B44" s="20" t="str">
        <f t="shared" si="0"/>
        <v>Di</v>
      </c>
      <c r="C44" s="20">
        <f t="shared" si="1"/>
        <v>33</v>
      </c>
      <c r="D44" s="20">
        <f>INT((A44-Konfiguration!$C$8)/7)+1</f>
        <v>6</v>
      </c>
      <c r="E44" s="19" t="s">
        <v>29</v>
      </c>
      <c r="F44" s="19" t="s">
        <v>54</v>
      </c>
      <c r="G44" s="27" t="s">
        <v>67</v>
      </c>
      <c r="H44" s="20">
        <v>60</v>
      </c>
      <c r="I44" s="20">
        <v>2</v>
      </c>
      <c r="J44" s="20">
        <f t="shared" si="2"/>
        <v>120</v>
      </c>
      <c r="K44" s="19" t="s">
        <v>56</v>
      </c>
      <c r="L44" s="20">
        <v>18</v>
      </c>
      <c r="M44" s="27"/>
    </row>
    <row r="45" spans="1:13" ht="18" customHeight="1" x14ac:dyDescent="0.25">
      <c r="A45" s="28">
        <v>46246</v>
      </c>
      <c r="B45" s="18" t="str">
        <f t="shared" si="0"/>
        <v>Mi</v>
      </c>
      <c r="C45" s="18">
        <f t="shared" si="1"/>
        <v>33</v>
      </c>
      <c r="D45" s="18">
        <f>INT((A45-Konfiguration!$C$8)/7)+1</f>
        <v>6</v>
      </c>
      <c r="E45" s="17" t="s">
        <v>29</v>
      </c>
      <c r="F45" s="17" t="s">
        <v>68</v>
      </c>
      <c r="G45" s="29" t="s">
        <v>89</v>
      </c>
      <c r="H45" s="18">
        <v>63</v>
      </c>
      <c r="I45" s="18">
        <v>2</v>
      </c>
      <c r="J45" s="18">
        <f t="shared" si="2"/>
        <v>126</v>
      </c>
      <c r="K45" s="17" t="s">
        <v>53</v>
      </c>
      <c r="L45" s="18">
        <v>19</v>
      </c>
      <c r="M45" s="29"/>
    </row>
    <row r="46" spans="1:13" ht="18" customHeight="1" x14ac:dyDescent="0.25">
      <c r="A46" s="26">
        <v>46247</v>
      </c>
      <c r="B46" s="20" t="str">
        <f t="shared" si="0"/>
        <v>Do</v>
      </c>
      <c r="C46" s="20">
        <f t="shared" si="1"/>
        <v>33</v>
      </c>
      <c r="D46" s="20">
        <f>INT((A46-Konfiguration!$C$8)/7)+1</f>
        <v>6</v>
      </c>
      <c r="E46" s="19" t="s">
        <v>29</v>
      </c>
      <c r="F46" s="19" t="s">
        <v>58</v>
      </c>
      <c r="G46" s="27" t="s">
        <v>70</v>
      </c>
      <c r="H46" s="20">
        <v>67</v>
      </c>
      <c r="I46" s="20">
        <v>3</v>
      </c>
      <c r="J46" s="20">
        <f t="shared" si="2"/>
        <v>201</v>
      </c>
      <c r="K46" s="19" t="s">
        <v>53</v>
      </c>
      <c r="L46" s="20">
        <v>20</v>
      </c>
      <c r="M46" s="27"/>
    </row>
    <row r="47" spans="1:13" ht="18" customHeight="1" x14ac:dyDescent="0.25">
      <c r="A47" s="28">
        <v>46248</v>
      </c>
      <c r="B47" s="18" t="str">
        <f t="shared" si="0"/>
        <v>Fr</v>
      </c>
      <c r="C47" s="18">
        <f t="shared" si="1"/>
        <v>33</v>
      </c>
      <c r="D47" s="18">
        <f>INT((A47-Konfiguration!$C$8)/7)+1</f>
        <v>6</v>
      </c>
      <c r="E47" s="17" t="s">
        <v>29</v>
      </c>
      <c r="F47" s="17" t="s">
        <v>78</v>
      </c>
      <c r="G47" s="29" t="s">
        <v>90</v>
      </c>
      <c r="H47" s="18">
        <v>45</v>
      </c>
      <c r="I47" s="18">
        <v>1</v>
      </c>
      <c r="J47" s="18">
        <f t="shared" si="2"/>
        <v>45</v>
      </c>
      <c r="K47" s="17" t="s">
        <v>80</v>
      </c>
      <c r="L47" s="18">
        <v>21</v>
      </c>
      <c r="M47" s="29"/>
    </row>
    <row r="48" spans="1:13" ht="18" customHeight="1" x14ac:dyDescent="0.25">
      <c r="A48" s="26">
        <v>46249</v>
      </c>
      <c r="B48" s="20" t="str">
        <f t="shared" si="0"/>
        <v>Sa</v>
      </c>
      <c r="C48" s="20">
        <f t="shared" si="1"/>
        <v>33</v>
      </c>
      <c r="D48" s="20">
        <f>INT((A48-Konfiguration!$C$8)/7)+1</f>
        <v>6</v>
      </c>
      <c r="E48" s="19" t="s">
        <v>29</v>
      </c>
      <c r="F48" s="19" t="s">
        <v>58</v>
      </c>
      <c r="G48" s="27" t="s">
        <v>76</v>
      </c>
      <c r="H48" s="20">
        <v>60</v>
      </c>
      <c r="I48" s="20">
        <v>3</v>
      </c>
      <c r="J48" s="20">
        <f t="shared" si="2"/>
        <v>180</v>
      </c>
      <c r="K48" s="19" t="s">
        <v>53</v>
      </c>
      <c r="L48" s="20">
        <v>17</v>
      </c>
      <c r="M48" s="27"/>
    </row>
    <row r="49" spans="1:13" ht="18" customHeight="1" x14ac:dyDescent="0.25">
      <c r="A49" s="38">
        <v>46250</v>
      </c>
      <c r="B49" s="39" t="str">
        <f t="shared" si="0"/>
        <v>So</v>
      </c>
      <c r="C49" s="39">
        <f t="shared" si="1"/>
        <v>33</v>
      </c>
      <c r="D49" s="39">
        <f>INT((A49-Konfiguration!$C$8)/7)+1</f>
        <v>6</v>
      </c>
      <c r="E49" s="40" t="s">
        <v>29</v>
      </c>
      <c r="F49" s="40" t="s">
        <v>66</v>
      </c>
      <c r="G49" s="41"/>
      <c r="H49" s="39"/>
      <c r="I49" s="39"/>
      <c r="J49" s="39" t="str">
        <f t="shared" si="2"/>
        <v/>
      </c>
      <c r="K49" s="40"/>
      <c r="L49" s="39"/>
      <c r="M49" s="41"/>
    </row>
    <row r="50" spans="1:13" ht="19.5" customHeight="1" x14ac:dyDescent="0.25">
      <c r="A50" s="65" t="s">
        <v>91</v>
      </c>
      <c r="B50" s="65"/>
      <c r="C50" s="65"/>
      <c r="D50" s="65"/>
      <c r="E50" s="65"/>
      <c r="F50" s="65"/>
      <c r="G50" s="65"/>
      <c r="H50" s="46">
        <f>SUM(H8:H49)</f>
        <v>2750</v>
      </c>
      <c r="I50" s="46">
        <f>IFERROR(ROUND(AVERAGE(I8:I49),1),"")</f>
        <v>3.3</v>
      </c>
      <c r="J50" s="46">
        <f>SUM(J8:J49)</f>
        <v>9852</v>
      </c>
      <c r="K50" s="47" t="s">
        <v>92</v>
      </c>
      <c r="L50" s="46">
        <f>IFERROR(ROUND(AVERAGE(L8:L49),0),"")</f>
        <v>19</v>
      </c>
      <c r="M50" s="48"/>
    </row>
  </sheetData>
  <mergeCells count="6">
    <mergeCell ref="A50:G50"/>
    <mergeCell ref="A1:M2"/>
    <mergeCell ref="A3:M3"/>
    <mergeCell ref="B5:D5"/>
    <mergeCell ref="H5:I5"/>
    <mergeCell ref="J5:M5"/>
  </mergeCells>
  <conditionalFormatting sqref="F8:F49">
    <cfRule type="cellIs" dxfId="3" priority="4" operator="equal">
      <formula>"Testspiel"</formula>
    </cfRule>
  </conditionalFormatting>
  <conditionalFormatting sqref="I8:I49">
    <cfRule type="colorScale" priority="2">
      <colorScale>
        <cfvo type="num" val="1"/>
        <cfvo type="num" val="3"/>
        <cfvo type="num" val="5"/>
        <color rgb="FFC9E7D8"/>
        <color rgb="FFFCE9B8"/>
        <color rgb="FFF4C7B4"/>
      </colorScale>
    </cfRule>
  </conditionalFormatting>
  <conditionalFormatting sqref="J8:J49">
    <cfRule type="colorScale" priority="3">
      <colorScale>
        <cfvo type="min"/>
        <cfvo type="percentile" val="50"/>
        <cfvo type="max"/>
        <color rgb="FFC9E7D8"/>
        <color rgb="FFFCE9B8"/>
        <color rgb="FFF4C7B4"/>
      </colorScale>
    </cfRule>
  </conditionalFormatting>
  <dataValidations count="1">
    <dataValidation type="list" allowBlank="1" sqref="I8:I49" xr:uid="{00000000-0002-0000-0100-000003000000}">
      <formula1>"1,2,3,4,5"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Konfiguration!$B$14:$B$17</xm:f>
          </x14:formula1>
          <x14:formula2>
            <xm:f>0</xm:f>
          </x14:formula2>
          <xm:sqref>E8:E49</xm:sqref>
        </x14:dataValidation>
        <x14:dataValidation type="list" allowBlank="1" xr:uid="{00000000-0002-0000-0100-000001000000}">
          <x14:formula1>
            <xm:f>Konfiguration!$C$14:$C$23</xm:f>
          </x14:formula1>
          <x14:formula2>
            <xm:f>0</xm:f>
          </x14:formula2>
          <xm:sqref>F8:F49</xm:sqref>
        </x14:dataValidation>
        <x14:dataValidation type="list" allowBlank="1" xr:uid="{00000000-0002-0000-0100-000002000000}">
          <x14:formula1>
            <xm:f>Konfiguration!$D$14:$D$20</xm:f>
          </x14:formula1>
          <x14:formula2>
            <xm:f>0</xm:f>
          </x14:formula2>
          <xm:sqref>K8:K49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2" width="12" customWidth="1"/>
    <col min="3" max="3" width="7" customWidth="1"/>
    <col min="4" max="4" width="24" customWidth="1"/>
    <col min="5" max="5" width="12" customWidth="1"/>
    <col min="6" max="6" width="9" customWidth="1"/>
    <col min="7" max="7" width="24" customWidth="1"/>
    <col min="8" max="8" width="11" customWidth="1"/>
    <col min="9" max="9" width="12" customWidth="1"/>
    <col min="10" max="10" width="10" customWidth="1"/>
    <col min="11" max="11" width="14" customWidth="1"/>
    <col min="12" max="12" width="9" customWidth="1"/>
    <col min="13" max="13" width="28" customWidth="1"/>
  </cols>
  <sheetData>
    <row r="1" spans="1:13" ht="18" customHeight="1" x14ac:dyDescent="0.25">
      <c r="A1" s="66" t="s">
        <v>93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8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x14ac:dyDescent="0.25">
      <c r="A3" s="62" t="s">
        <v>94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1:13" ht="27.75" customHeight="1" x14ac:dyDescent="0.25">
      <c r="A5" s="25" t="s">
        <v>95</v>
      </c>
      <c r="B5" s="25" t="s">
        <v>40</v>
      </c>
      <c r="C5" s="25" t="s">
        <v>41</v>
      </c>
      <c r="D5" s="25" t="s">
        <v>96</v>
      </c>
      <c r="E5" s="25" t="s">
        <v>97</v>
      </c>
      <c r="F5" s="25" t="s">
        <v>98</v>
      </c>
      <c r="G5" s="25" t="s">
        <v>99</v>
      </c>
      <c r="H5" s="25" t="s">
        <v>100</v>
      </c>
      <c r="I5" s="25" t="s">
        <v>101</v>
      </c>
      <c r="J5" s="25" t="s">
        <v>102</v>
      </c>
      <c r="K5" s="25" t="s">
        <v>103</v>
      </c>
      <c r="L5" s="25" t="s">
        <v>104</v>
      </c>
      <c r="M5" s="25" t="s">
        <v>50</v>
      </c>
    </row>
    <row r="6" spans="1:13" ht="18" customHeight="1" x14ac:dyDescent="0.25">
      <c r="A6" s="20">
        <v>1</v>
      </c>
      <c r="B6" s="26">
        <v>46214</v>
      </c>
      <c r="C6" s="20" t="str">
        <f t="shared" ref="C6:C12" si="0">CHOOSE(WEEKDAY(B6,2),"Mo","Di","Mi","Do","Fr","Sa","So")</f>
        <v>Sa</v>
      </c>
      <c r="D6" s="19" t="s">
        <v>105</v>
      </c>
      <c r="E6" s="20" t="s">
        <v>106</v>
      </c>
      <c r="F6" s="49">
        <v>0.64583333333333304</v>
      </c>
      <c r="G6" s="19" t="s">
        <v>53</v>
      </c>
      <c r="H6" s="20">
        <v>3</v>
      </c>
      <c r="I6" s="20">
        <v>1</v>
      </c>
      <c r="J6" s="20" t="str">
        <f t="shared" ref="J6:J15" si="1">IF(OR(H6="",I6=""),"",H6&amp;":"&amp;I6)</f>
        <v>3:1</v>
      </c>
      <c r="K6" s="20" t="str">
        <f t="shared" ref="K6:K15" si="2">IF(OR(H6="",I6=""),"",IF(H6&gt;I6,"Sieg",IF(H6=I6,"Unentschieden","Niederlage")))</f>
        <v>Sieg</v>
      </c>
      <c r="L6" s="20">
        <f t="shared" ref="L6:L15" si="3">IF(OR(H6="",I6=""),"",H6-I6)</f>
        <v>2</v>
      </c>
      <c r="M6" s="27" t="s">
        <v>107</v>
      </c>
    </row>
    <row r="7" spans="1:13" ht="18" customHeight="1" x14ac:dyDescent="0.25">
      <c r="A7" s="18">
        <v>2</v>
      </c>
      <c r="B7" s="28">
        <v>46221</v>
      </c>
      <c r="C7" s="18" t="str">
        <f t="shared" si="0"/>
        <v>Sa</v>
      </c>
      <c r="D7" s="17" t="s">
        <v>108</v>
      </c>
      <c r="E7" s="18" t="s">
        <v>65</v>
      </c>
      <c r="F7" s="50">
        <v>0.66666666666666696</v>
      </c>
      <c r="G7" s="17" t="s">
        <v>109</v>
      </c>
      <c r="H7" s="18">
        <v>2</v>
      </c>
      <c r="I7" s="18">
        <v>2</v>
      </c>
      <c r="J7" s="18" t="str">
        <f t="shared" si="1"/>
        <v>2:2</v>
      </c>
      <c r="K7" s="18" t="str">
        <f t="shared" si="2"/>
        <v>Unentschieden</v>
      </c>
      <c r="L7" s="18">
        <f t="shared" si="3"/>
        <v>0</v>
      </c>
      <c r="M7" s="29" t="s">
        <v>110</v>
      </c>
    </row>
    <row r="8" spans="1:13" ht="18" customHeight="1" x14ac:dyDescent="0.25">
      <c r="A8" s="20">
        <v>3</v>
      </c>
      <c r="B8" s="26">
        <v>46225</v>
      </c>
      <c r="C8" s="20" t="str">
        <f t="shared" si="0"/>
        <v>Mi</v>
      </c>
      <c r="D8" s="19" t="s">
        <v>111</v>
      </c>
      <c r="E8" s="20" t="s">
        <v>65</v>
      </c>
      <c r="F8" s="49">
        <v>0.75</v>
      </c>
      <c r="G8" s="19" t="s">
        <v>73</v>
      </c>
      <c r="H8" s="20">
        <v>1</v>
      </c>
      <c r="I8" s="20">
        <v>0</v>
      </c>
      <c r="J8" s="20" t="str">
        <f t="shared" si="1"/>
        <v>1:0</v>
      </c>
      <c r="K8" s="20" t="str">
        <f t="shared" si="2"/>
        <v>Sieg</v>
      </c>
      <c r="L8" s="20">
        <f t="shared" si="3"/>
        <v>1</v>
      </c>
      <c r="M8" s="27" t="s">
        <v>112</v>
      </c>
    </row>
    <row r="9" spans="1:13" ht="18" customHeight="1" x14ac:dyDescent="0.25">
      <c r="A9" s="18">
        <v>4</v>
      </c>
      <c r="B9" s="28">
        <v>46228</v>
      </c>
      <c r="C9" s="18" t="str">
        <f t="shared" si="0"/>
        <v>Sa</v>
      </c>
      <c r="D9" s="17" t="s">
        <v>113</v>
      </c>
      <c r="E9" s="18" t="s">
        <v>65</v>
      </c>
      <c r="F9" s="50">
        <v>0.625</v>
      </c>
      <c r="G9" s="17" t="s">
        <v>73</v>
      </c>
      <c r="H9" s="18">
        <v>4</v>
      </c>
      <c r="I9" s="18">
        <v>2</v>
      </c>
      <c r="J9" s="18" t="str">
        <f t="shared" si="1"/>
        <v>4:2</v>
      </c>
      <c r="K9" s="18" t="str">
        <f t="shared" si="2"/>
        <v>Sieg</v>
      </c>
      <c r="L9" s="18">
        <f t="shared" si="3"/>
        <v>2</v>
      </c>
      <c r="M9" s="29" t="s">
        <v>114</v>
      </c>
    </row>
    <row r="10" spans="1:13" ht="18" customHeight="1" x14ac:dyDescent="0.25">
      <c r="A10" s="20">
        <v>5</v>
      </c>
      <c r="B10" s="26">
        <v>46235</v>
      </c>
      <c r="C10" s="20" t="str">
        <f t="shared" si="0"/>
        <v>Sa</v>
      </c>
      <c r="D10" s="19" t="s">
        <v>115</v>
      </c>
      <c r="E10" s="20" t="s">
        <v>106</v>
      </c>
      <c r="F10" s="49">
        <v>0.64583333333333304</v>
      </c>
      <c r="G10" s="19" t="s">
        <v>53</v>
      </c>
      <c r="H10" s="20">
        <v>1</v>
      </c>
      <c r="I10" s="20">
        <v>1</v>
      </c>
      <c r="J10" s="20" t="str">
        <f t="shared" si="1"/>
        <v>1:1</v>
      </c>
      <c r="K10" s="20" t="str">
        <f t="shared" si="2"/>
        <v>Unentschieden</v>
      </c>
      <c r="L10" s="20">
        <f t="shared" si="3"/>
        <v>0</v>
      </c>
      <c r="M10" s="27" t="s">
        <v>116</v>
      </c>
    </row>
    <row r="11" spans="1:13" ht="18" customHeight="1" x14ac:dyDescent="0.25">
      <c r="A11" s="18">
        <v>6</v>
      </c>
      <c r="B11" s="28">
        <v>46242</v>
      </c>
      <c r="C11" s="18" t="str">
        <f t="shared" si="0"/>
        <v>Sa</v>
      </c>
      <c r="D11" s="17" t="s">
        <v>117</v>
      </c>
      <c r="E11" s="18" t="s">
        <v>106</v>
      </c>
      <c r="F11" s="50">
        <v>0.64583333333333304</v>
      </c>
      <c r="G11" s="17" t="s">
        <v>53</v>
      </c>
      <c r="H11" s="18">
        <v>3</v>
      </c>
      <c r="I11" s="18">
        <v>0</v>
      </c>
      <c r="J11" s="18" t="str">
        <f t="shared" si="1"/>
        <v>3:0</v>
      </c>
      <c r="K11" s="18" t="str">
        <f t="shared" si="2"/>
        <v>Sieg</v>
      </c>
      <c r="L11" s="18">
        <f t="shared" si="3"/>
        <v>3</v>
      </c>
      <c r="M11" s="29" t="s">
        <v>118</v>
      </c>
    </row>
    <row r="12" spans="1:13" ht="18" customHeight="1" x14ac:dyDescent="0.25">
      <c r="A12" s="20">
        <v>7</v>
      </c>
      <c r="B12" s="26">
        <v>46246</v>
      </c>
      <c r="C12" s="20" t="str">
        <f t="shared" si="0"/>
        <v>Mi</v>
      </c>
      <c r="D12" s="19" t="s">
        <v>119</v>
      </c>
      <c r="E12" s="20" t="s">
        <v>65</v>
      </c>
      <c r="F12" s="49">
        <v>0.79166666666666696</v>
      </c>
      <c r="G12" s="19" t="s">
        <v>120</v>
      </c>
      <c r="H12" s="20">
        <v>2</v>
      </c>
      <c r="I12" s="20">
        <v>1</v>
      </c>
      <c r="J12" s="20" t="str">
        <f t="shared" si="1"/>
        <v>2:1</v>
      </c>
      <c r="K12" s="20" t="str">
        <f t="shared" si="2"/>
        <v>Sieg</v>
      </c>
      <c r="L12" s="20">
        <f t="shared" si="3"/>
        <v>1</v>
      </c>
      <c r="M12" s="27" t="s">
        <v>121</v>
      </c>
    </row>
    <row r="13" spans="1:13" ht="18" customHeight="1" x14ac:dyDescent="0.25">
      <c r="A13" s="18" t="str">
        <f>IF(B13="","",A12+1)</f>
        <v/>
      </c>
      <c r="B13" s="17"/>
      <c r="C13" s="18" t="str">
        <f>IF(B13="","",CHOOSE(WEEKDAY(B13,2),"Mo","Di","Mi","Do","Fr","Sa","So"))</f>
        <v/>
      </c>
      <c r="D13" s="17"/>
      <c r="E13" s="18"/>
      <c r="F13" s="18"/>
      <c r="G13" s="17"/>
      <c r="H13" s="18"/>
      <c r="I13" s="18"/>
      <c r="J13" s="18" t="str">
        <f t="shared" si="1"/>
        <v/>
      </c>
      <c r="K13" s="18" t="str">
        <f t="shared" si="2"/>
        <v/>
      </c>
      <c r="L13" s="18" t="str">
        <f t="shared" si="3"/>
        <v/>
      </c>
      <c r="M13" s="29"/>
    </row>
    <row r="14" spans="1:13" ht="18" customHeight="1" x14ac:dyDescent="0.25">
      <c r="A14" s="20" t="str">
        <f>IF(B14="","",A13+1)</f>
        <v/>
      </c>
      <c r="B14" s="19"/>
      <c r="C14" s="20" t="str">
        <f>IF(B14="","",CHOOSE(WEEKDAY(B14,2),"Mo","Di","Mi","Do","Fr","Sa","So"))</f>
        <v/>
      </c>
      <c r="D14" s="19"/>
      <c r="E14" s="20"/>
      <c r="F14" s="20"/>
      <c r="G14" s="19"/>
      <c r="H14" s="20"/>
      <c r="I14" s="20"/>
      <c r="J14" s="20" t="str">
        <f t="shared" si="1"/>
        <v/>
      </c>
      <c r="K14" s="20" t="str">
        <f t="shared" si="2"/>
        <v/>
      </c>
      <c r="L14" s="20" t="str">
        <f t="shared" si="3"/>
        <v/>
      </c>
      <c r="M14" s="27"/>
    </row>
    <row r="15" spans="1:13" ht="18" customHeight="1" x14ac:dyDescent="0.25">
      <c r="A15" s="18" t="str">
        <f>IF(B15="","",A14+1)</f>
        <v/>
      </c>
      <c r="B15" s="17"/>
      <c r="C15" s="18" t="str">
        <f>IF(B15="","",CHOOSE(WEEKDAY(B15,2),"Mo","Di","Mi","Do","Fr","Sa","So"))</f>
        <v/>
      </c>
      <c r="D15" s="17"/>
      <c r="E15" s="18"/>
      <c r="F15" s="18"/>
      <c r="G15" s="17"/>
      <c r="H15" s="18"/>
      <c r="I15" s="18"/>
      <c r="J15" s="18" t="str">
        <f t="shared" si="1"/>
        <v/>
      </c>
      <c r="K15" s="18" t="str">
        <f t="shared" si="2"/>
        <v/>
      </c>
      <c r="L15" s="18" t="str">
        <f t="shared" si="3"/>
        <v/>
      </c>
      <c r="M15" s="29"/>
    </row>
    <row r="17" spans="2:5" ht="21.75" customHeight="1" x14ac:dyDescent="0.25">
      <c r="B17" s="3" t="s">
        <v>122</v>
      </c>
      <c r="C17" s="3"/>
      <c r="D17" s="3"/>
      <c r="E17" s="3"/>
    </row>
    <row r="18" spans="2:5" x14ac:dyDescent="0.25">
      <c r="B18" s="67" t="s">
        <v>123</v>
      </c>
      <c r="C18" s="67"/>
      <c r="D18" s="67"/>
      <c r="E18" s="51">
        <f>COUNT(H6:H15)</f>
        <v>7</v>
      </c>
    </row>
    <row r="19" spans="2:5" x14ac:dyDescent="0.25">
      <c r="B19" s="67" t="s">
        <v>124</v>
      </c>
      <c r="C19" s="67"/>
      <c r="D19" s="67"/>
      <c r="E19" s="51">
        <f>COUNTIF(K6:K15,"Sieg")</f>
        <v>5</v>
      </c>
    </row>
    <row r="20" spans="2:5" x14ac:dyDescent="0.25">
      <c r="B20" s="67" t="s">
        <v>125</v>
      </c>
      <c r="C20" s="67"/>
      <c r="D20" s="67"/>
      <c r="E20" s="51">
        <f>COUNTIF(K6:K15,"Unentschieden")</f>
        <v>2</v>
      </c>
    </row>
    <row r="21" spans="2:5" x14ac:dyDescent="0.25">
      <c r="B21" s="67" t="s">
        <v>126</v>
      </c>
      <c r="C21" s="67"/>
      <c r="D21" s="67"/>
      <c r="E21" s="51">
        <f>COUNTIF(K6:K15,"Niederlage")</f>
        <v>0</v>
      </c>
    </row>
    <row r="22" spans="2:5" x14ac:dyDescent="0.25">
      <c r="B22" s="67" t="s">
        <v>127</v>
      </c>
      <c r="C22" s="67"/>
      <c r="D22" s="67"/>
      <c r="E22" s="51">
        <f>SUM(H6:H15)</f>
        <v>16</v>
      </c>
    </row>
    <row r="23" spans="2:5" x14ac:dyDescent="0.25">
      <c r="B23" s="67" t="s">
        <v>128</v>
      </c>
      <c r="C23" s="67"/>
      <c r="D23" s="67"/>
      <c r="E23" s="51">
        <f>SUM(I6:I15)</f>
        <v>7</v>
      </c>
    </row>
    <row r="24" spans="2:5" x14ac:dyDescent="0.25">
      <c r="B24" s="67" t="s">
        <v>129</v>
      </c>
      <c r="C24" s="67"/>
      <c r="D24" s="67"/>
      <c r="E24" s="51">
        <f>SUM(H6:H15)-SUM(I6:I15)</f>
        <v>9</v>
      </c>
    </row>
    <row r="25" spans="2:5" x14ac:dyDescent="0.25">
      <c r="B25" s="67" t="s">
        <v>130</v>
      </c>
      <c r="C25" s="67"/>
      <c r="D25" s="67"/>
      <c r="E25" s="51">
        <f>COUNTIF(K6:K15,"Sieg")*3+COUNTIF(K6:K15,"Unentschieden")</f>
        <v>17</v>
      </c>
    </row>
  </sheetData>
  <mergeCells count="11">
    <mergeCell ref="B25:D25"/>
    <mergeCell ref="B20:D20"/>
    <mergeCell ref="B21:D21"/>
    <mergeCell ref="B22:D22"/>
    <mergeCell ref="B23:D23"/>
    <mergeCell ref="B24:D24"/>
    <mergeCell ref="A1:M2"/>
    <mergeCell ref="A3:M3"/>
    <mergeCell ref="B17:E17"/>
    <mergeCell ref="B18:D18"/>
    <mergeCell ref="B19:D19"/>
  </mergeCells>
  <conditionalFormatting sqref="K6:K15">
    <cfRule type="cellIs" dxfId="2" priority="2" operator="equal">
      <formula>"Sieg"</formula>
    </cfRule>
    <cfRule type="cellIs" dxfId="1" priority="3" operator="equal">
      <formula>"Unentschieden"</formula>
    </cfRule>
    <cfRule type="cellIs" dxfId="0" priority="4" operator="equal">
      <formula>"Niederlage"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Konfiguration!$E$14:$E$15</xm:f>
          </x14:formula1>
          <x14:formula2>
            <xm:f>0</xm:f>
          </x14:formula2>
          <xm:sqref>E6:E15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3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6" customWidth="1"/>
    <col min="3" max="3" width="24" customWidth="1"/>
    <col min="4" max="5" width="22" customWidth="1"/>
    <col min="6" max="6" width="20" customWidth="1"/>
  </cols>
  <sheetData>
    <row r="2" spans="2:6" ht="24" customHeight="1" x14ac:dyDescent="0.25">
      <c r="B2" s="68" t="s">
        <v>131</v>
      </c>
      <c r="C2" s="68"/>
      <c r="D2" s="68"/>
      <c r="E2" s="68"/>
      <c r="F2" s="68"/>
    </row>
    <row r="4" spans="2:6" x14ac:dyDescent="0.25">
      <c r="B4" s="52" t="s">
        <v>132</v>
      </c>
    </row>
    <row r="5" spans="2:6" x14ac:dyDescent="0.25">
      <c r="B5" s="53" t="s">
        <v>133</v>
      </c>
      <c r="C5" s="54" t="s">
        <v>134</v>
      </c>
    </row>
    <row r="6" spans="2:6" x14ac:dyDescent="0.25">
      <c r="B6" s="53" t="s">
        <v>135</v>
      </c>
      <c r="C6" s="54" t="s">
        <v>136</v>
      </c>
    </row>
    <row r="7" spans="2:6" x14ac:dyDescent="0.25">
      <c r="B7" s="53" t="s">
        <v>137</v>
      </c>
      <c r="C7" s="54" t="s">
        <v>138</v>
      </c>
    </row>
    <row r="8" spans="2:6" x14ac:dyDescent="0.25">
      <c r="B8" s="53" t="s">
        <v>139</v>
      </c>
      <c r="C8" s="55">
        <v>46209</v>
      </c>
    </row>
    <row r="9" spans="2:6" x14ac:dyDescent="0.25">
      <c r="B9" s="53" t="s">
        <v>140</v>
      </c>
      <c r="C9" s="55">
        <v>46250</v>
      </c>
    </row>
    <row r="11" spans="2:6" x14ac:dyDescent="0.25">
      <c r="B11" s="60" t="s">
        <v>141</v>
      </c>
      <c r="C11" s="60"/>
      <c r="D11" s="60"/>
      <c r="E11" s="60"/>
      <c r="F11" s="60"/>
    </row>
    <row r="12" spans="2:6" x14ac:dyDescent="0.25">
      <c r="B12" s="52" t="s">
        <v>142</v>
      </c>
    </row>
    <row r="13" spans="2:6" x14ac:dyDescent="0.25">
      <c r="B13" s="56" t="s">
        <v>20</v>
      </c>
      <c r="C13" s="56" t="s">
        <v>44</v>
      </c>
      <c r="D13" s="56" t="s">
        <v>48</v>
      </c>
      <c r="E13" s="56" t="s">
        <v>143</v>
      </c>
    </row>
    <row r="14" spans="2:6" x14ac:dyDescent="0.25">
      <c r="B14" s="19" t="s">
        <v>23</v>
      </c>
      <c r="C14" s="19" t="s">
        <v>54</v>
      </c>
      <c r="D14" s="19" t="s">
        <v>53</v>
      </c>
      <c r="E14" s="19" t="s">
        <v>106</v>
      </c>
    </row>
    <row r="15" spans="2:6" x14ac:dyDescent="0.25">
      <c r="B15" s="17" t="s">
        <v>25</v>
      </c>
      <c r="C15" s="17" t="s">
        <v>60</v>
      </c>
      <c r="D15" s="17" t="s">
        <v>80</v>
      </c>
      <c r="E15" s="17" t="s">
        <v>65</v>
      </c>
    </row>
    <row r="16" spans="2:6" x14ac:dyDescent="0.25">
      <c r="B16" s="19" t="s">
        <v>27</v>
      </c>
      <c r="C16" s="19" t="s">
        <v>68</v>
      </c>
      <c r="D16" s="19" t="s">
        <v>87</v>
      </c>
    </row>
    <row r="17" spans="2:4" x14ac:dyDescent="0.25">
      <c r="B17" s="17" t="s">
        <v>29</v>
      </c>
      <c r="C17" s="17" t="s">
        <v>58</v>
      </c>
      <c r="D17" s="17" t="s">
        <v>62</v>
      </c>
    </row>
    <row r="18" spans="2:4" x14ac:dyDescent="0.25">
      <c r="C18" s="19" t="s">
        <v>85</v>
      </c>
      <c r="D18" s="19" t="s">
        <v>56</v>
      </c>
    </row>
    <row r="19" spans="2:4" x14ac:dyDescent="0.25">
      <c r="C19" s="17" t="s">
        <v>78</v>
      </c>
      <c r="D19" s="17" t="s">
        <v>73</v>
      </c>
    </row>
    <row r="20" spans="2:4" x14ac:dyDescent="0.25">
      <c r="C20" s="19" t="s">
        <v>51</v>
      </c>
      <c r="D20" s="19" t="s">
        <v>65</v>
      </c>
    </row>
    <row r="21" spans="2:4" x14ac:dyDescent="0.25">
      <c r="C21" s="17" t="s">
        <v>73</v>
      </c>
    </row>
    <row r="22" spans="2:4" x14ac:dyDescent="0.25">
      <c r="C22" s="19" t="s">
        <v>63</v>
      </c>
    </row>
    <row r="23" spans="2:4" x14ac:dyDescent="0.25">
      <c r="C23" s="17" t="s">
        <v>66</v>
      </c>
    </row>
  </sheetData>
  <mergeCells count="2">
    <mergeCell ref="B2:F2"/>
    <mergeCell ref="B11:F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</vt:lpstr>
      <vt:lpstr>Trainingsplan</vt:lpstr>
      <vt:lpstr>Testspiele</vt:lpstr>
      <vt:lpstr>Konfiguration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2026-10-01T05:08:28Z</dcterms:created>
  <dcterms:modified xsi:type="dcterms:W3CDTF">2026-10-01T06:31:34Z</dcterms:modified>
  <dc:language>en-US</dc:language>
</cp:coreProperties>
</file>