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3D32BCC4-8953-4E2F-B343-41A46A36EF3D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Listen" sheetId="2" r:id="rId2"/>
    <sheet name="Vorbereitungsplan" sheetId="3" r:id="rId3"/>
  </sheets>
  <definedNames>
    <definedName name="_xlnm._FilterDatabase" localSheetId="2" hidden="1">Vorbereitungsplan!$A$4:$L$60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0" i="3" l="1"/>
  <c r="B60" i="3"/>
  <c r="C59" i="3"/>
  <c r="B59" i="3"/>
  <c r="C58" i="3"/>
  <c r="B58" i="3"/>
  <c r="C57" i="3"/>
  <c r="B57" i="3"/>
  <c r="C56" i="3"/>
  <c r="B56" i="3"/>
  <c r="C55" i="3"/>
  <c r="B55" i="3"/>
  <c r="C54" i="3"/>
  <c r="B54" i="3"/>
  <c r="C53" i="3"/>
  <c r="B53" i="3"/>
  <c r="C52" i="3"/>
  <c r="B52" i="3"/>
  <c r="C51" i="3"/>
  <c r="B51" i="3"/>
  <c r="C50" i="3"/>
  <c r="B50" i="3"/>
  <c r="C49" i="3"/>
  <c r="B49" i="3"/>
  <c r="C48" i="3"/>
  <c r="B48" i="3"/>
  <c r="C47" i="3"/>
  <c r="B47" i="3"/>
  <c r="C46" i="3"/>
  <c r="B46" i="3"/>
  <c r="C45" i="3"/>
  <c r="B45" i="3"/>
  <c r="C44" i="3"/>
  <c r="B44" i="3"/>
  <c r="C43" i="3"/>
  <c r="B43" i="3"/>
  <c r="C42" i="3"/>
  <c r="B42" i="3"/>
  <c r="C41" i="3"/>
  <c r="B41" i="3"/>
  <c r="C40" i="3"/>
  <c r="B40" i="3"/>
  <c r="C39" i="3"/>
  <c r="B39" i="3"/>
  <c r="C38" i="3"/>
  <c r="B38" i="3"/>
  <c r="C37" i="3"/>
  <c r="B37" i="3"/>
  <c r="C36" i="3"/>
  <c r="B36" i="3"/>
  <c r="C35" i="3"/>
  <c r="B35" i="3"/>
  <c r="C34" i="3"/>
  <c r="B34" i="3"/>
  <c r="C33" i="3"/>
  <c r="B33" i="3"/>
  <c r="C32" i="3"/>
  <c r="B32" i="3"/>
  <c r="C31" i="3"/>
  <c r="B31" i="3"/>
  <c r="C30" i="3"/>
  <c r="B30" i="3"/>
  <c r="C29" i="3"/>
  <c r="B29" i="3"/>
  <c r="C28" i="3"/>
  <c r="B28" i="3"/>
  <c r="C27" i="3"/>
  <c r="B27" i="3"/>
  <c r="C26" i="3"/>
  <c r="B26" i="3"/>
  <c r="C25" i="3"/>
  <c r="B25" i="3"/>
  <c r="C24" i="3"/>
  <c r="B24" i="3"/>
  <c r="C23" i="3"/>
  <c r="B23" i="3"/>
  <c r="C22" i="3"/>
  <c r="B22" i="3"/>
  <c r="C21" i="3"/>
  <c r="B21" i="3"/>
  <c r="C20" i="3"/>
  <c r="B20" i="3"/>
  <c r="C19" i="3"/>
  <c r="B19" i="3"/>
  <c r="C18" i="3"/>
  <c r="B18" i="3"/>
  <c r="C17" i="3"/>
  <c r="B17" i="3"/>
  <c r="C16" i="3"/>
  <c r="B16" i="3"/>
  <c r="C15" i="3"/>
  <c r="B15" i="3"/>
  <c r="C14" i="3"/>
  <c r="B14" i="3"/>
  <c r="C13" i="3"/>
  <c r="B13" i="3"/>
  <c r="C12" i="3"/>
  <c r="B12" i="3"/>
  <c r="C11" i="3"/>
  <c r="C23" i="1" s="1"/>
  <c r="D23" i="1" s="1"/>
  <c r="B11" i="3"/>
  <c r="C10" i="3"/>
  <c r="B10" i="3"/>
  <c r="C9" i="3"/>
  <c r="B9" i="3"/>
  <c r="C8" i="3"/>
  <c r="B8" i="3"/>
  <c r="C7" i="3"/>
  <c r="B7" i="3"/>
  <c r="C6" i="3"/>
  <c r="B25" i="1" s="1"/>
  <c r="B6" i="3"/>
  <c r="C5" i="3"/>
  <c r="E26" i="1" s="1"/>
  <c r="B5" i="3"/>
  <c r="B38" i="1"/>
  <c r="B37" i="1"/>
  <c r="B36" i="1"/>
  <c r="B35" i="1"/>
  <c r="B34" i="1"/>
  <c r="B33" i="1"/>
  <c r="B32" i="1"/>
  <c r="B31" i="1"/>
  <c r="B26" i="1"/>
  <c r="E25" i="1"/>
  <c r="C22" i="1"/>
  <c r="D22" i="1" s="1"/>
  <c r="B22" i="1"/>
  <c r="E16" i="1"/>
  <c r="C16" i="1"/>
  <c r="A16" i="1"/>
  <c r="E13" i="1"/>
  <c r="C13" i="1"/>
  <c r="A13" i="1"/>
  <c r="B24" i="1" l="1"/>
  <c r="C24" i="1"/>
  <c r="D24" i="1" s="1"/>
  <c r="E23" i="1"/>
  <c r="C26" i="1"/>
  <c r="D26" i="1" s="1"/>
  <c r="B21" i="1"/>
  <c r="C21" i="1"/>
  <c r="D21" i="1" s="1"/>
  <c r="E22" i="1"/>
  <c r="B23" i="1"/>
  <c r="E24" i="1"/>
  <c r="C25" i="1"/>
  <c r="D25" i="1" s="1"/>
  <c r="E21" i="1"/>
</calcChain>
</file>

<file path=xl/sharedStrings.xml><?xml version="1.0" encoding="utf-8"?>
<sst xmlns="http://schemas.openxmlformats.org/spreadsheetml/2006/main" count="258" uniqueCount="121">
  <si>
    <t>VORBEREITUNGSPLAN FUSSBALL</t>
  </si>
  <si>
    <t>Saisonübersicht · Belastungssteuerung · Kennzahlen</t>
  </si>
  <si>
    <t>MANNSCHAFTSDATEN</t>
  </si>
  <si>
    <t>Verein / Mannschaft</t>
  </si>
  <si>
    <t>SV Musterstadt 05</t>
  </si>
  <si>
    <t>Saison</t>
  </si>
  <si>
    <t>2026/27</t>
  </si>
  <si>
    <t>Trainer / Co-Trainer</t>
  </si>
  <si>
    <t>Max Mustermann / Erika Muster</t>
  </si>
  <si>
    <t>Spielklasse</t>
  </si>
  <si>
    <t>Kreisliga (Beispiel)</t>
  </si>
  <si>
    <t>Vorbereitungsbeginn</t>
  </si>
  <si>
    <t>Saisonstart (1. Pflichtspiel)</t>
  </si>
  <si>
    <t>KENNZAHLEN DER VORBEREITUNG</t>
  </si>
  <si>
    <t>Trainingseinheiten</t>
  </si>
  <si>
    <t>Testspiele</t>
  </si>
  <si>
    <t>Trainingszeit (Std.)</t>
  </si>
  <si>
    <t>Ø Belastung (1–5)</t>
  </si>
  <si>
    <t>Ruhetage</t>
  </si>
  <si>
    <t>Dauer (Wochen)</t>
  </si>
  <si>
    <t>WÖCHENTLICHE BELASTUNGSSTEUERUNG</t>
  </si>
  <si>
    <t>Woche</t>
  </si>
  <si>
    <t>Einheiten</t>
  </si>
  <si>
    <t>Minuten</t>
  </si>
  <si>
    <t>Stunden</t>
  </si>
  <si>
    <t>Ø Belastung</t>
  </si>
  <si>
    <t>Woche 1</t>
  </si>
  <si>
    <t>Woche 2</t>
  </si>
  <si>
    <t>Woche 3</t>
  </si>
  <si>
    <t>Woche 4</t>
  </si>
  <si>
    <t>Woche 5</t>
  </si>
  <si>
    <t>Woche 6</t>
  </si>
  <si>
    <t>VERTEILUNG NACH SCHWERPUNKT</t>
  </si>
  <si>
    <t>Schwerpunkt</t>
  </si>
  <si>
    <t>Ausdauer</t>
  </si>
  <si>
    <t>Kraft</t>
  </si>
  <si>
    <t>Schnelligkeit</t>
  </si>
  <si>
    <t>Technik</t>
  </si>
  <si>
    <t>Taktik</t>
  </si>
  <si>
    <t>Spielformen</t>
  </si>
  <si>
    <t>Athletik</t>
  </si>
  <si>
    <t>Regeneration</t>
  </si>
  <si>
    <t>HINWEISE ZUR NUTZUNG</t>
  </si>
  <si>
    <t>•  Gelb hinterlegte Felder (Mannschaftsdaten) sind frei anpassbar – besonders Vorbereitungsbeginn und Saisonstart.</t>
  </si>
  <si>
    <t>•  Trage die Einheiten auf dem Blatt »Vorbereitungsplan« ein. Wochentag und Woche werden automatisch berechnet.</t>
  </si>
  <si>
    <t>•  Art, Schwerpunkt, Belastung und Status werden über Auswahllisten gepflegt; alle Kennzahlen aktualisieren sich automatisch.</t>
  </si>
  <si>
    <t>•  Belastung: 1 = sehr locker … 5 = sehr intensiv. Die Farbskala zeigt die Intensität je Einheit.</t>
  </si>
  <si>
    <t>•  Die Beispieldaten dienen nur zur Orientierung und können überschrieben werden.</t>
  </si>
  <si>
    <t>Art der Einheit</t>
  </si>
  <si>
    <t>Status</t>
  </si>
  <si>
    <t>Belastung (1–5)</t>
  </si>
  <si>
    <t>Training</t>
  </si>
  <si>
    <t>Geplant</t>
  </si>
  <si>
    <t>sehr locker</t>
  </si>
  <si>
    <t>Testspiel</t>
  </si>
  <si>
    <t>Erledigt</t>
  </si>
  <si>
    <t>locker</t>
  </si>
  <si>
    <t>Pflichtspiel</t>
  </si>
  <si>
    <t>Abgesagt</t>
  </si>
  <si>
    <t>mittel</t>
  </si>
  <si>
    <t>Trainingslager</t>
  </si>
  <si>
    <t>intensiv</t>
  </si>
  <si>
    <t>Leistungsdiagnostik</t>
  </si>
  <si>
    <t>sehr intensiv</t>
  </si>
  <si>
    <t>Ruhetag</t>
  </si>
  <si>
    <t>Saisonvorbereitung · Trainings- und Spielplan je Woche</t>
  </si>
  <si>
    <t>Datum</t>
  </si>
  <si>
    <t>Wochentag</t>
  </si>
  <si>
    <t>Uhrzeit</t>
  </si>
  <si>
    <t>Art</t>
  </si>
  <si>
    <t>Dauer (Min.)</t>
  </si>
  <si>
    <t>Belastung</t>
  </si>
  <si>
    <t>Ort</t>
  </si>
  <si>
    <t>Gegner / Inhalt</t>
  </si>
  <si>
    <t>Notizen</t>
  </si>
  <si>
    <t>17:30</t>
  </si>
  <si>
    <t>Sportplatz</t>
  </si>
  <si>
    <t>Eingangstests &amp; Laktatmessung</t>
  </si>
  <si>
    <t>Ausgangswerte erfassen</t>
  </si>
  <si>
    <t>18:00</t>
  </si>
  <si>
    <t>Grundlagenausdauer, Dauerlauf</t>
  </si>
  <si>
    <t>Kraftraum</t>
  </si>
  <si>
    <t>Stabilisation &amp; Rumpfkraft</t>
  </si>
  <si>
    <t>11:00</t>
  </si>
  <si>
    <t>Ballgewöhnung, Passformen</t>
  </si>
  <si>
    <t>Erholungstag</t>
  </si>
  <si>
    <t>Waldstrecke</t>
  </si>
  <si>
    <t>Intervallläufe 4×4 Min.</t>
  </si>
  <si>
    <t>Maximalkraft Grundübungen</t>
  </si>
  <si>
    <t>Defensivverhalten Viererkette</t>
  </si>
  <si>
    <t>15:00</t>
  </si>
  <si>
    <t>Heimplatz</t>
  </si>
  <si>
    <t>SV Beispielstadt</t>
  </si>
  <si>
    <t>Erster Härtetest</t>
  </si>
  <si>
    <t>10:00</t>
  </si>
  <si>
    <t>Doppeleinheit – Vormittag</t>
  </si>
  <si>
    <t>Anreise Vortag</t>
  </si>
  <si>
    <t>17:00</t>
  </si>
  <si>
    <t>Doppeleinheit – Nachmittag</t>
  </si>
  <si>
    <t>Schnellkraft &amp; Sprünge</t>
  </si>
  <si>
    <t>Positionsspiele hohe Intensität</t>
  </si>
  <si>
    <t>16:00</t>
  </si>
  <si>
    <t>Neutraler Platz</t>
  </si>
  <si>
    <t>TSV Musterdorf</t>
  </si>
  <si>
    <t>Rückreise &amp; Erholung</t>
  </si>
  <si>
    <t>Regeneration nach Trainingslager</t>
  </si>
  <si>
    <t>Lockeres Auslaufen &amp; Mobility</t>
  </si>
  <si>
    <t>Angriffspressing &amp; Umschalten</t>
  </si>
  <si>
    <t>FC Platzhalter</t>
  </si>
  <si>
    <t>Antritte &amp; Sprintserien</t>
  </si>
  <si>
    <t>Standardsituationen offensiv/defensiv</t>
  </si>
  <si>
    <t>Spielnahe Formen 11 gegen 11</t>
  </si>
  <si>
    <t>Auswärts</t>
  </si>
  <si>
    <t>SG Mustertal</t>
  </si>
  <si>
    <t>Generalprobe</t>
  </si>
  <si>
    <t>Matchplan 1. Spieltag</t>
  </si>
  <si>
    <t>Aktivierung, kurze Reize</t>
  </si>
  <si>
    <t>Abschlusstraining &amp; Standards</t>
  </si>
  <si>
    <t>Heimstadion</t>
  </si>
  <si>
    <t>1. Pflichtspiel – Saisonauftakt</t>
  </si>
  <si>
    <t>Saisonstart!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</si>
</sst>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3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1"/>
      <color rgb="FFFFFFFF"/>
      <name val="Calibri"/>
      <charset val="1"/>
    </font>
    <font>
      <b/>
      <sz val="11"/>
      <color rgb="FFFFFFFF"/>
      <name val="Calibri"/>
      <charset val="1"/>
    </font>
    <font>
      <b/>
      <sz val="10"/>
      <color rgb="FF5A6B72"/>
      <name val="Calibri"/>
      <charset val="1"/>
    </font>
    <font>
      <b/>
      <sz val="11"/>
      <color rgb="FF1F2A30"/>
      <name val="Calibri"/>
      <charset val="1"/>
    </font>
    <font>
      <b/>
      <sz val="22"/>
      <color rgb="FF15323C"/>
      <name val="Calibri"/>
      <charset val="1"/>
    </font>
    <font>
      <b/>
      <sz val="10"/>
      <color rgb="FFFFFFFF"/>
      <name val="Calibri"/>
      <charset val="1"/>
    </font>
    <font>
      <b/>
      <sz val="10"/>
      <color rgb="FF1F2A30"/>
      <name val="Calibri"/>
      <charset val="1"/>
    </font>
    <font>
      <sz val="10"/>
      <color rgb="FF1F2A30"/>
      <name val="Calibri"/>
      <charset val="1"/>
    </font>
    <font>
      <sz val="10"/>
      <color rgb="FF5A6B72"/>
      <name val="Calibri"/>
      <charset val="1"/>
    </font>
    <font>
      <sz val="11"/>
      <color rgb="FF1F2A30"/>
      <name val="Calibri"/>
      <charset val="1"/>
    </font>
    <font>
      <b/>
      <sz val="18"/>
      <color rgb="FFFFFFFF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5323C"/>
        <bgColor rgb="FF1F2A30"/>
      </patternFill>
    </fill>
    <fill>
      <patternFill patternType="solid">
        <fgColor rgb="FF2E6E7E"/>
        <bgColor rgb="FF5A6B72"/>
      </patternFill>
    </fill>
    <fill>
      <patternFill patternType="solid">
        <fgColor rgb="FFECEFF0"/>
        <bgColor rgb="FFF3F7F7"/>
      </patternFill>
    </fill>
    <fill>
      <patternFill patternType="solid">
        <fgColor rgb="FFFFF6E9"/>
        <bgColor rgb="FFF3F7F7"/>
      </patternFill>
    </fill>
    <fill>
      <patternFill patternType="solid">
        <fgColor rgb="FFD98236"/>
        <bgColor rgb="FFFF9900"/>
      </patternFill>
    </fill>
    <fill>
      <patternFill patternType="solid">
        <fgColor rgb="FFFFFFFF"/>
        <bgColor rgb="FFF3F7F7"/>
      </patternFill>
    </fill>
    <fill>
      <patternFill patternType="solid">
        <fgColor rgb="FFF3F7F7"/>
        <bgColor rgb="FFECEFF0"/>
      </patternFill>
    </fill>
  </fills>
  <borders count="4">
    <border>
      <left/>
      <right/>
      <top/>
      <bottom/>
      <diagonal/>
    </border>
    <border>
      <left style="thin">
        <color rgb="FFCBD6DA"/>
      </left>
      <right style="thin">
        <color rgb="FFCBD6DA"/>
      </right>
      <top style="thin">
        <color rgb="FFCBD6DA"/>
      </top>
      <bottom style="thin">
        <color rgb="FFCBD6DA"/>
      </bottom>
      <diagonal/>
    </border>
    <border>
      <left style="thin">
        <color rgb="FFCBD6DA"/>
      </left>
      <right style="thin">
        <color rgb="FFCBD6DA"/>
      </right>
      <top style="medium">
        <color rgb="FFD98236"/>
      </top>
      <bottom/>
      <diagonal/>
    </border>
    <border>
      <left style="thin">
        <color rgb="FFCBD6DA"/>
      </left>
      <right style="thin">
        <color rgb="FFCBD6DA"/>
      </right>
      <top/>
      <bottom style="thin">
        <color rgb="FFCBD6DA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2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7" borderId="3" xfId="0" applyFont="1" applyFill="1" applyBorder="1" applyAlignment="1">
      <alignment horizontal="center" vertical="center" wrapText="1"/>
    </xf>
    <xf numFmtId="165" fontId="6" fillId="7" borderId="2" xfId="0" applyNumberFormat="1" applyFont="1" applyFill="1" applyBorder="1" applyAlignment="1">
      <alignment horizontal="center" vertical="center" wrapText="1"/>
    </xf>
    <xf numFmtId="1" fontId="6" fillId="7" borderId="2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left" vertical="center" indent="1"/>
    </xf>
    <xf numFmtId="164" fontId="5" fillId="5" borderId="1" xfId="0" applyNumberFormat="1" applyFont="1" applyFill="1" applyBorder="1" applyAlignment="1">
      <alignment horizontal="left" vertical="center" indent="1"/>
    </xf>
    <xf numFmtId="0" fontId="5" fillId="5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165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64" fontId="9" fillId="8" borderId="1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6">
    <dxf>
      <font>
        <b/>
        <sz val="10"/>
        <color rgb="FFC0392B"/>
        <name val="Calibri"/>
        <charset val="1"/>
      </font>
    </dxf>
    <dxf>
      <font>
        <b/>
        <sz val="10"/>
        <color rgb="FF2E7D32"/>
        <name val="Calibri"/>
        <charset val="1"/>
      </font>
    </dxf>
    <dxf>
      <font>
        <i/>
        <sz val="10"/>
        <color rgb="FF5A6B72"/>
        <name val="Calibri"/>
        <charset val="1"/>
      </font>
      <fill>
        <patternFill>
          <bgColor rgb="FFECEFF0"/>
        </patternFill>
      </fill>
    </dxf>
    <dxf>
      <fill>
        <patternFill>
          <bgColor rgb="FFDCECEA"/>
        </patternFill>
      </fill>
    </dxf>
    <dxf>
      <font>
        <b/>
        <sz val="10"/>
        <color rgb="FFFFFFFF"/>
        <name val="Calibri"/>
        <charset val="1"/>
      </font>
      <fill>
        <patternFill>
          <bgColor rgb="FFD98236"/>
        </patternFill>
      </fill>
    </dxf>
    <dxf>
      <fill>
        <patternFill>
          <bgColor rgb="FFFBEA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6E7E"/>
      <rgbColor rgb="FFD9D9D9"/>
      <rgbColor rgb="FF878787"/>
      <rgbColor rgb="FF9999FF"/>
      <rgbColor rgb="FF993366"/>
      <rgbColor rgb="FFFFF6E9"/>
      <rgbColor rgb="FFDCECEA"/>
      <rgbColor rgb="FF660066"/>
      <rgbColor rgb="FFD98236"/>
      <rgbColor rgb="FF0066CC"/>
      <rgbColor rgb="FFCBD6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CEFF0"/>
      <rgbColor rgb="FFF3F7F7"/>
      <rgbColor rgb="FFFBEAD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B72"/>
      <rgbColor rgb="FF6AA9A0"/>
      <rgbColor rgb="FF15323C"/>
      <rgbColor rgb="FF2E7D32"/>
      <rgbColor rgb="FF003300"/>
      <rgbColor rgb="FF333300"/>
      <rgbColor rgb="FFC0392B"/>
      <rgbColor rgb="FF993366"/>
      <rgbColor rgb="FF333399"/>
      <rgbColor rgb="FF1F2A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6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Trainingsumfang je Woche (Min.)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Übersicht!$C$20</c:f>
              <c:strCache>
                <c:ptCount val="1"/>
                <c:pt idx="0">
                  <c:v>Minuten</c:v>
                </c:pt>
              </c:strCache>
            </c:strRef>
          </c:tx>
          <c:spPr>
            <a:solidFill>
              <a:srgbClr val="2E6E7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Übersicht!$A$21:$A$26</c:f>
              <c:strCache>
                <c:ptCount val="6"/>
                <c:pt idx="0">
                  <c:v>Woche 1</c:v>
                </c:pt>
                <c:pt idx="1">
                  <c:v>Woche 2</c:v>
                </c:pt>
                <c:pt idx="2">
                  <c:v>Woche 3</c:v>
                </c:pt>
                <c:pt idx="3">
                  <c:v>Woche 4</c:v>
                </c:pt>
                <c:pt idx="4">
                  <c:v>Woche 5</c:v>
                </c:pt>
                <c:pt idx="5">
                  <c:v>Woche 6</c:v>
                </c:pt>
              </c:strCache>
            </c:strRef>
          </c:cat>
          <c:val>
            <c:numRef>
              <c:f>Übersicht!$C$21:$C$26</c:f>
              <c:numCache>
                <c:formatCode>General</c:formatCode>
                <c:ptCount val="6"/>
                <c:pt idx="0">
                  <c:v>335</c:v>
                </c:pt>
                <c:pt idx="1">
                  <c:v>360</c:v>
                </c:pt>
                <c:pt idx="2">
                  <c:v>455</c:v>
                </c:pt>
                <c:pt idx="3">
                  <c:v>240</c:v>
                </c:pt>
                <c:pt idx="4">
                  <c:v>335</c:v>
                </c:pt>
                <c:pt idx="5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1-492B-8F54-5160361D6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122489"/>
        <c:axId val="87248769"/>
      </c:barChart>
      <c:catAx>
        <c:axId val="341224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7248769"/>
        <c:crosses val="autoZero"/>
        <c:auto val="1"/>
        <c:lblAlgn val="ctr"/>
        <c:lblOffset val="100"/>
        <c:noMultiLvlLbl val="0"/>
      </c:catAx>
      <c:valAx>
        <c:axId val="8724876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4122489"/>
        <c:crosses val="autoZero"/>
        <c:crossBetween val="between"/>
      </c:valAx>
      <c:spPr>
        <a:solidFill>
          <a:srgbClr val="FFF6E9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6E9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Ø Belastung je Woche (1–5)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Übersicht!$E$20</c:f>
              <c:strCache>
                <c:ptCount val="1"/>
                <c:pt idx="0">
                  <c:v>Ø Belastung</c:v>
                </c:pt>
              </c:strCache>
            </c:strRef>
          </c:tx>
          <c:spPr>
            <a:solidFill>
              <a:srgbClr val="D9823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Übersicht!$A$21:$A$26</c:f>
              <c:strCache>
                <c:ptCount val="6"/>
                <c:pt idx="0">
                  <c:v>Woche 1</c:v>
                </c:pt>
                <c:pt idx="1">
                  <c:v>Woche 2</c:v>
                </c:pt>
                <c:pt idx="2">
                  <c:v>Woche 3</c:v>
                </c:pt>
                <c:pt idx="3">
                  <c:v>Woche 4</c:v>
                </c:pt>
                <c:pt idx="4">
                  <c:v>Woche 5</c:v>
                </c:pt>
                <c:pt idx="5">
                  <c:v>Woche 6</c:v>
                </c:pt>
              </c:strCache>
            </c:strRef>
          </c:cat>
          <c:val>
            <c:numRef>
              <c:f>Übersicht!$E$21:$E$26</c:f>
              <c:numCache>
                <c:formatCode>0.0</c:formatCode>
                <c:ptCount val="6"/>
                <c:pt idx="0">
                  <c:v>2.8</c:v>
                </c:pt>
                <c:pt idx="1">
                  <c:v>3.8</c:v>
                </c:pt>
                <c:pt idx="2">
                  <c:v>4.2</c:v>
                </c:pt>
                <c:pt idx="3">
                  <c:v>3.3</c:v>
                </c:pt>
                <c:pt idx="4">
                  <c:v>3.5</c:v>
                </c:pt>
                <c:pt idx="5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54-416A-A5BB-B362A16CC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08970"/>
        <c:axId val="2722317"/>
      </c:barChart>
      <c:catAx>
        <c:axId val="209089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722317"/>
        <c:crosses val="autoZero"/>
        <c:auto val="1"/>
        <c:lblAlgn val="ctr"/>
        <c:lblOffset val="100"/>
        <c:noMultiLvlLbl val="0"/>
      </c:catAx>
      <c:valAx>
        <c:axId val="2722317"/>
        <c:scaling>
          <c:orientation val="minMax"/>
          <c:max val="5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090897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6E9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Einheiten nach Schwerpunkt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Übersicht!$B$30</c:f>
              <c:strCache>
                <c:ptCount val="1"/>
                <c:pt idx="0">
                  <c:v>Einheiten</c:v>
                </c:pt>
              </c:strCache>
            </c:strRef>
          </c:tx>
          <c:spPr>
            <a:solidFill>
              <a:srgbClr val="6AA9A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Übersicht!$A$31:$A$38</c:f>
              <c:strCache>
                <c:ptCount val="8"/>
                <c:pt idx="0">
                  <c:v>Ausdauer</c:v>
                </c:pt>
                <c:pt idx="1">
                  <c:v>Kraft</c:v>
                </c:pt>
                <c:pt idx="2">
                  <c:v>Schnelligkeit</c:v>
                </c:pt>
                <c:pt idx="3">
                  <c:v>Technik</c:v>
                </c:pt>
                <c:pt idx="4">
                  <c:v>Taktik</c:v>
                </c:pt>
                <c:pt idx="5">
                  <c:v>Spielformen</c:v>
                </c:pt>
                <c:pt idx="6">
                  <c:v>Athletik</c:v>
                </c:pt>
                <c:pt idx="7">
                  <c:v>Regeneration</c:v>
                </c:pt>
              </c:strCache>
            </c:strRef>
          </c:cat>
          <c:val>
            <c:numRef>
              <c:f>Übersicht!$B$31:$B$38</c:f>
              <c:numCache>
                <c:formatCode>General</c:formatCode>
                <c:ptCount val="8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5</c:v>
                </c:pt>
                <c:pt idx="5">
                  <c:v>7</c:v>
                </c:pt>
                <c:pt idx="6">
                  <c:v>2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5-49DE-B8E0-63B75E59E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248430"/>
        <c:axId val="23015417"/>
      </c:barChart>
      <c:catAx>
        <c:axId val="8824843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3015417"/>
        <c:crosses val="autoZero"/>
        <c:auto val="1"/>
        <c:lblAlgn val="ctr"/>
        <c:lblOffset val="100"/>
        <c:noMultiLvlLbl val="0"/>
      </c:catAx>
      <c:valAx>
        <c:axId val="2301541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824843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6E9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12</xdr:col>
      <xdr:colOff>941145</xdr:colOff>
      <xdr:row>12</xdr:row>
      <xdr:rowOff>390240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13</xdr:row>
      <xdr:rowOff>38100</xdr:rowOff>
    </xdr:from>
    <xdr:to>
      <xdr:col>12</xdr:col>
      <xdr:colOff>941145</xdr:colOff>
      <xdr:row>24</xdr:row>
      <xdr:rowOff>75915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24</xdr:row>
      <xdr:rowOff>180975</xdr:rowOff>
    </xdr:from>
    <xdr:to>
      <xdr:col>12</xdr:col>
      <xdr:colOff>941145</xdr:colOff>
      <xdr:row>44</xdr:row>
      <xdr:rowOff>185040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323C"/>
  </sheetPr>
  <dimension ref="A1:M45"/>
  <sheetViews>
    <sheetView showGridLines="0" tabSelected="1" zoomScaleNormal="100" workbookViewId="0">
      <selection activeCell="O56" sqref="O56"/>
    </sheetView>
  </sheetViews>
  <sheetFormatPr baseColWidth="10" defaultColWidth="8.7109375" defaultRowHeight="15" x14ac:dyDescent="0.25"/>
  <cols>
    <col min="1" max="1" width="24" customWidth="1"/>
    <col min="2" max="2" width="13" customWidth="1"/>
    <col min="3" max="3" width="17" customWidth="1"/>
    <col min="4" max="4" width="11" customWidth="1"/>
    <col min="5" max="5" width="16" customWidth="1"/>
    <col min="6" max="6" width="11" customWidth="1"/>
    <col min="7" max="7" width="3" customWidth="1"/>
    <col min="8" max="12" width="11" customWidth="1"/>
    <col min="13" max="13" width="14.28515625" customWidth="1"/>
  </cols>
  <sheetData>
    <row r="1" spans="1:13" ht="39.7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9.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3" x14ac:dyDescent="0.25">
      <c r="A4" s="11" t="s">
        <v>2</v>
      </c>
      <c r="B4" s="11"/>
      <c r="C4" s="11"/>
      <c r="D4" s="11"/>
      <c r="E4" s="11"/>
      <c r="F4" s="11"/>
    </row>
    <row r="5" spans="1:13" ht="19.5" customHeight="1" x14ac:dyDescent="0.25">
      <c r="A5" s="10" t="s">
        <v>3</v>
      </c>
      <c r="B5" s="10"/>
      <c r="C5" s="9" t="s">
        <v>4</v>
      </c>
      <c r="D5" s="9"/>
      <c r="E5" s="9"/>
      <c r="F5" s="9"/>
    </row>
    <row r="6" spans="1:13" ht="19.5" customHeight="1" x14ac:dyDescent="0.25">
      <c r="A6" s="10" t="s">
        <v>5</v>
      </c>
      <c r="B6" s="10"/>
      <c r="C6" s="9" t="s">
        <v>6</v>
      </c>
      <c r="D6" s="9"/>
      <c r="E6" s="9"/>
      <c r="F6" s="9"/>
    </row>
    <row r="7" spans="1:13" ht="19.5" customHeight="1" x14ac:dyDescent="0.25">
      <c r="A7" s="10" t="s">
        <v>7</v>
      </c>
      <c r="B7" s="10"/>
      <c r="C7" s="9" t="s">
        <v>8</v>
      </c>
      <c r="D7" s="9"/>
      <c r="E7" s="9"/>
      <c r="F7" s="9"/>
    </row>
    <row r="8" spans="1:13" ht="19.5" customHeight="1" x14ac:dyDescent="0.25">
      <c r="A8" s="10" t="s">
        <v>9</v>
      </c>
      <c r="B8" s="10"/>
      <c r="C8" s="9" t="s">
        <v>10</v>
      </c>
      <c r="D8" s="9"/>
      <c r="E8" s="9"/>
      <c r="F8" s="9"/>
    </row>
    <row r="9" spans="1:13" ht="19.5" customHeight="1" x14ac:dyDescent="0.25">
      <c r="A9" s="10" t="s">
        <v>11</v>
      </c>
      <c r="B9" s="10"/>
      <c r="C9" s="8">
        <v>46209</v>
      </c>
      <c r="D9" s="8"/>
      <c r="E9" s="8"/>
      <c r="F9" s="8"/>
    </row>
    <row r="10" spans="1:13" ht="19.5" customHeight="1" x14ac:dyDescent="0.25">
      <c r="A10" s="10" t="s">
        <v>12</v>
      </c>
      <c r="B10" s="10"/>
      <c r="C10" s="8">
        <v>46250</v>
      </c>
      <c r="D10" s="8"/>
      <c r="E10" s="8"/>
      <c r="F10" s="8"/>
    </row>
    <row r="12" spans="1:13" x14ac:dyDescent="0.25">
      <c r="A12" s="7" t="s">
        <v>13</v>
      </c>
      <c r="B12" s="7"/>
      <c r="C12" s="7"/>
      <c r="D12" s="7"/>
      <c r="E12" s="7"/>
      <c r="F12" s="7"/>
    </row>
    <row r="13" spans="1:13" ht="33.75" customHeight="1" x14ac:dyDescent="0.25">
      <c r="A13" s="6">
        <f>COUNTIF(Vorbereitungsplan!$E$5:$E$60,"Training")</f>
        <v>14</v>
      </c>
      <c r="B13" s="6"/>
      <c r="C13" s="6">
        <f>COUNTIF(Vorbereitungsplan!$E$5:$E$60,"Testspiel")</f>
        <v>4</v>
      </c>
      <c r="D13" s="6"/>
      <c r="E13" s="5">
        <f>ROUND(SUM(Vorbereitungsplan!$G$5:$G$60)/60,1)</f>
        <v>33.299999999999997</v>
      </c>
      <c r="F13" s="5"/>
    </row>
    <row r="14" spans="1:13" ht="18" customHeight="1" x14ac:dyDescent="0.25">
      <c r="A14" s="4" t="s">
        <v>14</v>
      </c>
      <c r="B14" s="4"/>
      <c r="C14" s="4" t="s">
        <v>15</v>
      </c>
      <c r="D14" s="4"/>
      <c r="E14" s="4" t="s">
        <v>16</v>
      </c>
      <c r="F14" s="4"/>
    </row>
    <row r="16" spans="1:13" ht="33.75" customHeight="1" x14ac:dyDescent="0.25">
      <c r="A16" s="5">
        <f>IFERROR(ROUND(AVERAGEIF(Vorbereitungsplan!$H$5:$H$60,"&gt;0"),1),0)</f>
        <v>3.4</v>
      </c>
      <c r="B16" s="5"/>
      <c r="C16" s="6">
        <f>COUNTIF(Vorbereitungsplan!$E$5:$E$60,"Ruhetag")</f>
        <v>5</v>
      </c>
      <c r="D16" s="6"/>
      <c r="E16" s="6">
        <f>ROUNDUP((C10-C9+1)/7,0)</f>
        <v>6</v>
      </c>
      <c r="F16" s="6"/>
    </row>
    <row r="17" spans="1:6" ht="18" customHeight="1" x14ac:dyDescent="0.25">
      <c r="A17" s="4" t="s">
        <v>17</v>
      </c>
      <c r="B17" s="4"/>
      <c r="C17" s="4" t="s">
        <v>18</v>
      </c>
      <c r="D17" s="4"/>
      <c r="E17" s="4" t="s">
        <v>19</v>
      </c>
      <c r="F17" s="4"/>
    </row>
    <row r="19" spans="1:6" x14ac:dyDescent="0.25">
      <c r="A19" s="11" t="s">
        <v>20</v>
      </c>
      <c r="B19" s="11"/>
      <c r="C19" s="11"/>
      <c r="D19" s="11"/>
      <c r="E19" s="11"/>
      <c r="F19" s="11"/>
    </row>
    <row r="20" spans="1:6" x14ac:dyDescent="0.25">
      <c r="A20" s="14" t="s">
        <v>21</v>
      </c>
      <c r="B20" s="14" t="s">
        <v>22</v>
      </c>
      <c r="C20" s="14" t="s">
        <v>23</v>
      </c>
      <c r="D20" s="14" t="s">
        <v>24</v>
      </c>
      <c r="E20" s="14" t="s">
        <v>25</v>
      </c>
    </row>
    <row r="21" spans="1:6" x14ac:dyDescent="0.25">
      <c r="A21" s="15" t="s">
        <v>26</v>
      </c>
      <c r="B21" s="16">
        <f>COUNTIFS(Vorbereitungsplan!$C$5:$C$60,1,Vorbereitungsplan!$E$5:$E$60,"&lt;&gt;Ruhetag",Vorbereitungsplan!$E$5:$E$60,"&lt;&gt;")</f>
        <v>4</v>
      </c>
      <c r="C21" s="16">
        <f>SUMIFS(Vorbereitungsplan!$G$5:$G$60,Vorbereitungsplan!$C$5:$C$60,1)</f>
        <v>335</v>
      </c>
      <c r="D21" s="17">
        <f t="shared" ref="D21:D26" si="0">ROUND(C21/60,1)</f>
        <v>5.6</v>
      </c>
      <c r="E21" s="17">
        <f>IFERROR(ROUND(AVERAGEIFS(Vorbereitungsplan!$H$5:$H$60,Vorbereitungsplan!$C$5:$C$60,1,Vorbereitungsplan!$H$5:$H$60,"&gt;0"),1),"")</f>
        <v>2.8</v>
      </c>
    </row>
    <row r="22" spans="1:6" x14ac:dyDescent="0.25">
      <c r="A22" s="18" t="s">
        <v>27</v>
      </c>
      <c r="B22" s="19">
        <f>COUNTIFS(Vorbereitungsplan!$C$5:$C$60,2,Vorbereitungsplan!$E$5:$E$60,"&lt;&gt;Ruhetag",Vorbereitungsplan!$E$5:$E$60,"&lt;&gt;")</f>
        <v>4</v>
      </c>
      <c r="C22" s="19">
        <f>SUMIFS(Vorbereitungsplan!$G$5:$G$60,Vorbereitungsplan!$C$5:$C$60,2)</f>
        <v>360</v>
      </c>
      <c r="D22" s="20">
        <f t="shared" si="0"/>
        <v>6</v>
      </c>
      <c r="E22" s="20">
        <f>IFERROR(ROUND(AVERAGEIFS(Vorbereitungsplan!$H$5:$H$60,Vorbereitungsplan!$C$5:$C$60,2,Vorbereitungsplan!$H$5:$H$60,"&gt;0"),1),"")</f>
        <v>3.8</v>
      </c>
    </row>
    <row r="23" spans="1:6" x14ac:dyDescent="0.25">
      <c r="A23" s="15" t="s">
        <v>28</v>
      </c>
      <c r="B23" s="16">
        <f>COUNTIFS(Vorbereitungsplan!$C$5:$C$60,3,Vorbereitungsplan!$E$5:$E$60,"&lt;&gt;Ruhetag",Vorbereitungsplan!$E$5:$E$60,"&lt;&gt;")</f>
        <v>5</v>
      </c>
      <c r="C23" s="16">
        <f>SUMIFS(Vorbereitungsplan!$G$5:$G$60,Vorbereitungsplan!$C$5:$C$60,3)</f>
        <v>455</v>
      </c>
      <c r="D23" s="17">
        <f t="shared" si="0"/>
        <v>7.6</v>
      </c>
      <c r="E23" s="17">
        <f>IFERROR(ROUND(AVERAGEIFS(Vorbereitungsplan!$H$5:$H$60,Vorbereitungsplan!$C$5:$C$60,3,Vorbereitungsplan!$H$5:$H$60,"&gt;0"),1),"")</f>
        <v>4.2</v>
      </c>
    </row>
    <row r="24" spans="1:6" x14ac:dyDescent="0.25">
      <c r="A24" s="18" t="s">
        <v>29</v>
      </c>
      <c r="B24" s="19">
        <f>COUNTIFS(Vorbereitungsplan!$C$5:$C$60,4,Vorbereitungsplan!$E$5:$E$60,"&lt;&gt;Ruhetag",Vorbereitungsplan!$E$5:$E$60,"&lt;&gt;")</f>
        <v>3</v>
      </c>
      <c r="C24" s="19">
        <f>SUMIFS(Vorbereitungsplan!$G$5:$G$60,Vorbereitungsplan!$C$5:$C$60,4)</f>
        <v>240</v>
      </c>
      <c r="D24" s="20">
        <f t="shared" si="0"/>
        <v>4</v>
      </c>
      <c r="E24" s="20">
        <f>IFERROR(ROUND(AVERAGEIFS(Vorbereitungsplan!$H$5:$H$60,Vorbereitungsplan!$C$5:$C$60,4,Vorbereitungsplan!$H$5:$H$60,"&gt;0"),1),"")</f>
        <v>3.3</v>
      </c>
    </row>
    <row r="25" spans="1:6" x14ac:dyDescent="0.25">
      <c r="A25" s="15" t="s">
        <v>30</v>
      </c>
      <c r="B25" s="16">
        <f>COUNTIFS(Vorbereitungsplan!$C$5:$C$60,5,Vorbereitungsplan!$E$5:$E$60,"&lt;&gt;Ruhetag",Vorbereitungsplan!$E$5:$E$60,"&lt;&gt;")</f>
        <v>4</v>
      </c>
      <c r="C25" s="16">
        <f>SUMIFS(Vorbereitungsplan!$G$5:$G$60,Vorbereitungsplan!$C$5:$C$60,5)</f>
        <v>335</v>
      </c>
      <c r="D25" s="17">
        <f t="shared" si="0"/>
        <v>5.6</v>
      </c>
      <c r="E25" s="17">
        <f>IFERROR(ROUND(AVERAGEIFS(Vorbereitungsplan!$H$5:$H$60,Vorbereitungsplan!$C$5:$C$60,5,Vorbereitungsplan!$H$5:$H$60,"&gt;0"),1),"")</f>
        <v>3.5</v>
      </c>
    </row>
    <row r="26" spans="1:6" x14ac:dyDescent="0.25">
      <c r="A26" s="18" t="s">
        <v>31</v>
      </c>
      <c r="B26" s="19">
        <f>COUNTIFS(Vorbereitungsplan!$C$5:$C$60,6,Vorbereitungsplan!$E$5:$E$60,"&lt;&gt;Ruhetag",Vorbereitungsplan!$E$5:$E$60,"&lt;&gt;")</f>
        <v>4</v>
      </c>
      <c r="C26" s="19">
        <f>SUMIFS(Vorbereitungsplan!$G$5:$G$60,Vorbereitungsplan!$C$5:$C$60,6)</f>
        <v>275</v>
      </c>
      <c r="D26" s="20">
        <f t="shared" si="0"/>
        <v>4.5999999999999996</v>
      </c>
      <c r="E26" s="20">
        <f>IFERROR(ROUND(AVERAGEIFS(Vorbereitungsplan!$H$5:$H$60,Vorbereitungsplan!$C$5:$C$60,6,Vorbereitungsplan!$H$5:$H$60,"&gt;0"),1),"")</f>
        <v>2.8</v>
      </c>
    </row>
    <row r="29" spans="1:6" x14ac:dyDescent="0.25">
      <c r="A29" s="11" t="s">
        <v>32</v>
      </c>
      <c r="B29" s="11"/>
    </row>
    <row r="30" spans="1:6" x14ac:dyDescent="0.25">
      <c r="A30" s="14" t="s">
        <v>33</v>
      </c>
      <c r="B30" s="14" t="s">
        <v>22</v>
      </c>
    </row>
    <row r="31" spans="1:6" x14ac:dyDescent="0.25">
      <c r="A31" s="21" t="s">
        <v>34</v>
      </c>
      <c r="B31" s="16">
        <f>COUNTIF(Vorbereitungsplan!$F$5:$F$60,"Ausdauer")</f>
        <v>3</v>
      </c>
    </row>
    <row r="32" spans="1:6" x14ac:dyDescent="0.25">
      <c r="A32" s="22" t="s">
        <v>35</v>
      </c>
      <c r="B32" s="19">
        <f>COUNTIF(Vorbereitungsplan!$F$5:$F$60,"Kraft")</f>
        <v>2</v>
      </c>
    </row>
    <row r="33" spans="1:6" x14ac:dyDescent="0.25">
      <c r="A33" s="21" t="s">
        <v>36</v>
      </c>
      <c r="B33" s="16">
        <f>COUNTIF(Vorbereitungsplan!$F$5:$F$60,"Schnelligkeit")</f>
        <v>2</v>
      </c>
    </row>
    <row r="34" spans="1:6" x14ac:dyDescent="0.25">
      <c r="A34" s="22" t="s">
        <v>37</v>
      </c>
      <c r="B34" s="19">
        <f>COUNTIF(Vorbereitungsplan!$F$5:$F$60,"Technik")</f>
        <v>1</v>
      </c>
    </row>
    <row r="35" spans="1:6" x14ac:dyDescent="0.25">
      <c r="A35" s="21" t="s">
        <v>38</v>
      </c>
      <c r="B35" s="16">
        <f>COUNTIF(Vorbereitungsplan!$F$5:$F$60,"Taktik")</f>
        <v>5</v>
      </c>
    </row>
    <row r="36" spans="1:6" x14ac:dyDescent="0.25">
      <c r="A36" s="22" t="s">
        <v>39</v>
      </c>
      <c r="B36" s="19">
        <f>COUNTIF(Vorbereitungsplan!$F$5:$F$60,"Spielformen")</f>
        <v>7</v>
      </c>
    </row>
    <row r="37" spans="1:6" x14ac:dyDescent="0.25">
      <c r="A37" s="21" t="s">
        <v>40</v>
      </c>
      <c r="B37" s="16">
        <f>COUNTIF(Vorbereitungsplan!$F$5:$F$60,"Athletik")</f>
        <v>2</v>
      </c>
    </row>
    <row r="38" spans="1:6" x14ac:dyDescent="0.25">
      <c r="A38" s="22" t="s">
        <v>41</v>
      </c>
      <c r="B38" s="19">
        <f>COUNTIF(Vorbereitungsplan!$F$5:$F$60,"Regeneration")</f>
        <v>7</v>
      </c>
    </row>
    <row r="40" spans="1:6" x14ac:dyDescent="0.25">
      <c r="A40" s="7" t="s">
        <v>42</v>
      </c>
      <c r="B40" s="7"/>
      <c r="C40" s="7"/>
      <c r="D40" s="7"/>
      <c r="E40" s="7"/>
      <c r="F40" s="7"/>
    </row>
    <row r="41" spans="1:6" ht="15.75" customHeight="1" x14ac:dyDescent="0.25">
      <c r="A41" s="3" t="s">
        <v>43</v>
      </c>
      <c r="B41" s="3"/>
      <c r="C41" s="3"/>
      <c r="D41" s="3"/>
      <c r="E41" s="3"/>
      <c r="F41" s="3"/>
    </row>
    <row r="42" spans="1:6" ht="15.75" customHeight="1" x14ac:dyDescent="0.25">
      <c r="A42" s="3" t="s">
        <v>44</v>
      </c>
      <c r="B42" s="3"/>
      <c r="C42" s="3"/>
      <c r="D42" s="3"/>
      <c r="E42" s="3"/>
      <c r="F42" s="3"/>
    </row>
    <row r="43" spans="1:6" ht="15.75" customHeight="1" x14ac:dyDescent="0.25">
      <c r="A43" s="3" t="s">
        <v>45</v>
      </c>
      <c r="B43" s="3"/>
      <c r="C43" s="3"/>
      <c r="D43" s="3"/>
      <c r="E43" s="3"/>
      <c r="F43" s="3"/>
    </row>
    <row r="44" spans="1:6" ht="15.75" customHeight="1" x14ac:dyDescent="0.25">
      <c r="A44" s="3" t="s">
        <v>46</v>
      </c>
      <c r="B44" s="3"/>
      <c r="C44" s="3"/>
      <c r="D44" s="3"/>
      <c r="E44" s="3"/>
      <c r="F44" s="3"/>
    </row>
    <row r="45" spans="1:6" ht="15.75" customHeight="1" x14ac:dyDescent="0.25">
      <c r="A45" s="3" t="s">
        <v>47</v>
      </c>
      <c r="B45" s="3"/>
      <c r="C45" s="3"/>
      <c r="D45" s="3"/>
      <c r="E45" s="3"/>
      <c r="F45" s="3"/>
    </row>
  </sheetData>
  <mergeCells count="36">
    <mergeCell ref="A43:F43"/>
    <mergeCell ref="A44:F44"/>
    <mergeCell ref="A45:F45"/>
    <mergeCell ref="A19:F19"/>
    <mergeCell ref="A29:B29"/>
    <mergeCell ref="A40:F40"/>
    <mergeCell ref="A41:F41"/>
    <mergeCell ref="A42:F42"/>
    <mergeCell ref="A16:B16"/>
    <mergeCell ref="C16:D16"/>
    <mergeCell ref="E16:F16"/>
    <mergeCell ref="A17:B17"/>
    <mergeCell ref="C17:D17"/>
    <mergeCell ref="E17:F17"/>
    <mergeCell ref="A13:B13"/>
    <mergeCell ref="C13:D13"/>
    <mergeCell ref="E13:F13"/>
    <mergeCell ref="A14:B14"/>
    <mergeCell ref="C14:D14"/>
    <mergeCell ref="E14:F14"/>
    <mergeCell ref="A9:B9"/>
    <mergeCell ref="C9:F9"/>
    <mergeCell ref="A10:B10"/>
    <mergeCell ref="C10:F10"/>
    <mergeCell ref="A12:F12"/>
    <mergeCell ref="A6:B6"/>
    <mergeCell ref="C6:F6"/>
    <mergeCell ref="A7:B7"/>
    <mergeCell ref="C7:F7"/>
    <mergeCell ref="A8:B8"/>
    <mergeCell ref="C8:F8"/>
    <mergeCell ref="A1:M1"/>
    <mergeCell ref="A2:M2"/>
    <mergeCell ref="A4:F4"/>
    <mergeCell ref="A5:B5"/>
    <mergeCell ref="C5:F5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6E7E"/>
  </sheetPr>
  <dimension ref="A1:H9"/>
  <sheetViews>
    <sheetView showGridLines="0" zoomScaleNormal="100" workbookViewId="0"/>
  </sheetViews>
  <sheetFormatPr baseColWidth="10" defaultColWidth="8.7109375" defaultRowHeight="15" x14ac:dyDescent="0.25"/>
  <cols>
    <col min="1" max="1" width="22" customWidth="1"/>
    <col min="2" max="2" width="3" customWidth="1"/>
    <col min="3" max="3" width="16" customWidth="1"/>
    <col min="4" max="4" width="3" customWidth="1"/>
    <col min="5" max="5" width="14" customWidth="1"/>
    <col min="6" max="6" width="3" customWidth="1"/>
    <col min="7" max="7" width="14" customWidth="1"/>
    <col min="8" max="8" width="20" customWidth="1"/>
  </cols>
  <sheetData>
    <row r="1" spans="1:8" ht="15" customHeight="1" x14ac:dyDescent="0.25">
      <c r="A1" s="23" t="s">
        <v>48</v>
      </c>
      <c r="C1" s="23" t="s">
        <v>33</v>
      </c>
      <c r="E1" s="23" t="s">
        <v>49</v>
      </c>
      <c r="G1" s="2" t="s">
        <v>50</v>
      </c>
      <c r="H1" s="2"/>
    </row>
    <row r="2" spans="1:8" x14ac:dyDescent="0.25">
      <c r="A2" s="24" t="s">
        <v>51</v>
      </c>
      <c r="C2" s="24" t="s">
        <v>34</v>
      </c>
      <c r="E2" s="24" t="s">
        <v>52</v>
      </c>
      <c r="G2" s="24">
        <v>1</v>
      </c>
      <c r="H2" s="24" t="s">
        <v>53</v>
      </c>
    </row>
    <row r="3" spans="1:8" x14ac:dyDescent="0.25">
      <c r="A3" s="24" t="s">
        <v>54</v>
      </c>
      <c r="C3" s="24" t="s">
        <v>35</v>
      </c>
      <c r="E3" s="24" t="s">
        <v>55</v>
      </c>
      <c r="G3" s="24">
        <v>2</v>
      </c>
      <c r="H3" s="24" t="s">
        <v>56</v>
      </c>
    </row>
    <row r="4" spans="1:8" x14ac:dyDescent="0.25">
      <c r="A4" s="24" t="s">
        <v>57</v>
      </c>
      <c r="C4" s="24" t="s">
        <v>36</v>
      </c>
      <c r="E4" s="24" t="s">
        <v>58</v>
      </c>
      <c r="G4" s="24">
        <v>3</v>
      </c>
      <c r="H4" s="24" t="s">
        <v>59</v>
      </c>
    </row>
    <row r="5" spans="1:8" x14ac:dyDescent="0.25">
      <c r="A5" s="24" t="s">
        <v>60</v>
      </c>
      <c r="C5" s="24" t="s">
        <v>37</v>
      </c>
      <c r="G5" s="24">
        <v>4</v>
      </c>
      <c r="H5" s="24" t="s">
        <v>61</v>
      </c>
    </row>
    <row r="6" spans="1:8" x14ac:dyDescent="0.25">
      <c r="A6" s="24" t="s">
        <v>62</v>
      </c>
      <c r="C6" s="24" t="s">
        <v>38</v>
      </c>
      <c r="G6" s="24">
        <v>5</v>
      </c>
      <c r="H6" s="24" t="s">
        <v>63</v>
      </c>
    </row>
    <row r="7" spans="1:8" x14ac:dyDescent="0.25">
      <c r="A7" s="24" t="s">
        <v>64</v>
      </c>
      <c r="C7" s="24" t="s">
        <v>39</v>
      </c>
    </row>
    <row r="8" spans="1:8" x14ac:dyDescent="0.25">
      <c r="C8" s="24" t="s">
        <v>40</v>
      </c>
    </row>
    <row r="9" spans="1:8" x14ac:dyDescent="0.25">
      <c r="C9" s="24" t="s">
        <v>41</v>
      </c>
    </row>
  </sheetData>
  <mergeCells count="1">
    <mergeCell ref="G1:H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98236"/>
  </sheetPr>
  <dimension ref="A1:L60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12" customWidth="1"/>
    <col min="2" max="2" width="13" customWidth="1"/>
    <col min="3" max="3" width="8" customWidth="1"/>
    <col min="4" max="4" width="9" customWidth="1"/>
    <col min="5" max="5" width="17" customWidth="1"/>
    <col min="6" max="6" width="14" customWidth="1"/>
    <col min="7" max="7" width="11" customWidth="1"/>
    <col min="8" max="8" width="10" customWidth="1"/>
    <col min="9" max="9" width="16" customWidth="1"/>
    <col min="10" max="10" width="30" customWidth="1"/>
    <col min="11" max="11" width="12" customWidth="1"/>
    <col min="12" max="12" width="30" customWidth="1"/>
  </cols>
  <sheetData>
    <row r="1" spans="1:12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9.5" customHeight="1" x14ac:dyDescent="0.25">
      <c r="A2" s="12" t="s">
        <v>65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2" ht="30" customHeight="1" x14ac:dyDescent="0.25">
      <c r="A4" s="25" t="s">
        <v>66</v>
      </c>
      <c r="B4" s="25" t="s">
        <v>67</v>
      </c>
      <c r="C4" s="25" t="s">
        <v>21</v>
      </c>
      <c r="D4" s="25" t="s">
        <v>68</v>
      </c>
      <c r="E4" s="25" t="s">
        <v>69</v>
      </c>
      <c r="F4" s="25" t="s">
        <v>33</v>
      </c>
      <c r="G4" s="25" t="s">
        <v>70</v>
      </c>
      <c r="H4" s="25" t="s">
        <v>71</v>
      </c>
      <c r="I4" s="25" t="s">
        <v>72</v>
      </c>
      <c r="J4" s="25" t="s">
        <v>73</v>
      </c>
      <c r="K4" s="25" t="s">
        <v>49</v>
      </c>
      <c r="L4" s="25" t="s">
        <v>74</v>
      </c>
    </row>
    <row r="5" spans="1:12" ht="19.5" customHeight="1" x14ac:dyDescent="0.25">
      <c r="A5" s="26">
        <v>46209</v>
      </c>
      <c r="B5" s="16" t="str">
        <f t="shared" ref="B5:B36" si="0">IF($A5="","",CHOOSE(WEEKDAY($A5,2),"Montag","Dienstag","Mittwoch","Donnerstag","Freitag","Samstag","Sonntag"))</f>
        <v>Montag</v>
      </c>
      <c r="C5" s="16">
        <f>IF($A5="","",INT(($A5-Übersicht!$C$9)/7)+1)</f>
        <v>1</v>
      </c>
      <c r="D5" s="16" t="s">
        <v>75</v>
      </c>
      <c r="E5" s="21" t="s">
        <v>62</v>
      </c>
      <c r="F5" s="21" t="s">
        <v>40</v>
      </c>
      <c r="G5" s="27">
        <v>75</v>
      </c>
      <c r="H5" s="16">
        <v>3</v>
      </c>
      <c r="I5" s="21" t="s">
        <v>76</v>
      </c>
      <c r="J5" s="21" t="s">
        <v>77</v>
      </c>
      <c r="K5" s="16" t="s">
        <v>55</v>
      </c>
      <c r="L5" s="21" t="s">
        <v>78</v>
      </c>
    </row>
    <row r="6" spans="1:12" ht="19.5" customHeight="1" x14ac:dyDescent="0.25">
      <c r="A6" s="28">
        <v>46210</v>
      </c>
      <c r="B6" s="19" t="str">
        <f t="shared" si="0"/>
        <v>Dienstag</v>
      </c>
      <c r="C6" s="19">
        <f>IF($A6="","",INT(($A6-Übersicht!$C$9)/7)+1)</f>
        <v>1</v>
      </c>
      <c r="D6" s="19" t="s">
        <v>79</v>
      </c>
      <c r="E6" s="22" t="s">
        <v>51</v>
      </c>
      <c r="F6" s="22" t="s">
        <v>34</v>
      </c>
      <c r="G6" s="19">
        <v>90</v>
      </c>
      <c r="H6" s="19">
        <v>3</v>
      </c>
      <c r="I6" s="22" t="s">
        <v>76</v>
      </c>
      <c r="J6" s="22" t="s">
        <v>80</v>
      </c>
      <c r="K6" s="19" t="s">
        <v>55</v>
      </c>
      <c r="L6" s="22"/>
    </row>
    <row r="7" spans="1:12" ht="19.5" customHeight="1" x14ac:dyDescent="0.25">
      <c r="A7" s="26">
        <v>46212</v>
      </c>
      <c r="B7" s="16" t="str">
        <f t="shared" si="0"/>
        <v>Donnerstag</v>
      </c>
      <c r="C7" s="16">
        <f>IF($A7="","",INT(($A7-Übersicht!$C$9)/7)+1)</f>
        <v>1</v>
      </c>
      <c r="D7" s="16" t="s">
        <v>79</v>
      </c>
      <c r="E7" s="21" t="s">
        <v>51</v>
      </c>
      <c r="F7" s="21" t="s">
        <v>35</v>
      </c>
      <c r="G7" s="16">
        <v>90</v>
      </c>
      <c r="H7" s="16">
        <v>3</v>
      </c>
      <c r="I7" s="21" t="s">
        <v>81</v>
      </c>
      <c r="J7" s="21" t="s">
        <v>82</v>
      </c>
      <c r="K7" s="16" t="s">
        <v>52</v>
      </c>
      <c r="L7" s="21"/>
    </row>
    <row r="8" spans="1:12" ht="19.5" customHeight="1" x14ac:dyDescent="0.25">
      <c r="A8" s="28">
        <v>46214</v>
      </c>
      <c r="B8" s="19" t="str">
        <f t="shared" si="0"/>
        <v>Samstag</v>
      </c>
      <c r="C8" s="19">
        <f>IF($A8="","",INT(($A8-Übersicht!$C$9)/7)+1)</f>
        <v>1</v>
      </c>
      <c r="D8" s="19" t="s">
        <v>83</v>
      </c>
      <c r="E8" s="22" t="s">
        <v>51</v>
      </c>
      <c r="F8" s="22" t="s">
        <v>37</v>
      </c>
      <c r="G8" s="19">
        <v>80</v>
      </c>
      <c r="H8" s="19">
        <v>2</v>
      </c>
      <c r="I8" s="22" t="s">
        <v>76</v>
      </c>
      <c r="J8" s="22" t="s">
        <v>84</v>
      </c>
      <c r="K8" s="19" t="s">
        <v>52</v>
      </c>
      <c r="L8" s="22"/>
    </row>
    <row r="9" spans="1:12" ht="19.5" customHeight="1" x14ac:dyDescent="0.25">
      <c r="A9" s="26">
        <v>46215</v>
      </c>
      <c r="B9" s="16" t="str">
        <f t="shared" si="0"/>
        <v>Sonntag</v>
      </c>
      <c r="C9" s="16">
        <f>IF($A9="","",INT(($A9-Übersicht!$C$9)/7)+1)</f>
        <v>1</v>
      </c>
      <c r="D9" s="16"/>
      <c r="E9" s="21" t="s">
        <v>64</v>
      </c>
      <c r="F9" s="21" t="s">
        <v>41</v>
      </c>
      <c r="G9" s="16"/>
      <c r="H9" s="16"/>
      <c r="I9" s="21"/>
      <c r="J9" s="21" t="s">
        <v>85</v>
      </c>
      <c r="K9" s="16" t="s">
        <v>52</v>
      </c>
      <c r="L9" s="21"/>
    </row>
    <row r="10" spans="1:12" ht="19.5" customHeight="1" x14ac:dyDescent="0.25">
      <c r="A10" s="28">
        <v>46216</v>
      </c>
      <c r="B10" s="19" t="str">
        <f t="shared" si="0"/>
        <v>Montag</v>
      </c>
      <c r="C10" s="19">
        <f>IF($A10="","",INT(($A10-Übersicht!$C$9)/7)+1)</f>
        <v>2</v>
      </c>
      <c r="D10" s="19" t="s">
        <v>79</v>
      </c>
      <c r="E10" s="22" t="s">
        <v>51</v>
      </c>
      <c r="F10" s="22" t="s">
        <v>34</v>
      </c>
      <c r="G10" s="19">
        <v>95</v>
      </c>
      <c r="H10" s="19">
        <v>4</v>
      </c>
      <c r="I10" s="22" t="s">
        <v>86</v>
      </c>
      <c r="J10" s="22" t="s">
        <v>87</v>
      </c>
      <c r="K10" s="19" t="s">
        <v>52</v>
      </c>
      <c r="L10" s="22"/>
    </row>
    <row r="11" spans="1:12" ht="19.5" customHeight="1" x14ac:dyDescent="0.25">
      <c r="A11" s="26">
        <v>46218</v>
      </c>
      <c r="B11" s="16" t="str">
        <f t="shared" si="0"/>
        <v>Mittwoch</v>
      </c>
      <c r="C11" s="16">
        <f>IF($A11="","",INT(($A11-Übersicht!$C$9)/7)+1)</f>
        <v>2</v>
      </c>
      <c r="D11" s="16" t="s">
        <v>79</v>
      </c>
      <c r="E11" s="21" t="s">
        <v>51</v>
      </c>
      <c r="F11" s="21" t="s">
        <v>35</v>
      </c>
      <c r="G11" s="16">
        <v>90</v>
      </c>
      <c r="H11" s="16">
        <v>4</v>
      </c>
      <c r="I11" s="21" t="s">
        <v>81</v>
      </c>
      <c r="J11" s="21" t="s">
        <v>88</v>
      </c>
      <c r="K11" s="16" t="s">
        <v>52</v>
      </c>
      <c r="L11" s="21"/>
    </row>
    <row r="12" spans="1:12" ht="19.5" customHeight="1" x14ac:dyDescent="0.25">
      <c r="A12" s="28">
        <v>46219</v>
      </c>
      <c r="B12" s="19" t="str">
        <f t="shared" si="0"/>
        <v>Donnerstag</v>
      </c>
      <c r="C12" s="19">
        <f>IF($A12="","",INT(($A12-Übersicht!$C$9)/7)+1)</f>
        <v>2</v>
      </c>
      <c r="D12" s="19" t="s">
        <v>79</v>
      </c>
      <c r="E12" s="22" t="s">
        <v>51</v>
      </c>
      <c r="F12" s="22" t="s">
        <v>38</v>
      </c>
      <c r="G12" s="19">
        <v>85</v>
      </c>
      <c r="H12" s="19">
        <v>3</v>
      </c>
      <c r="I12" s="22" t="s">
        <v>76</v>
      </c>
      <c r="J12" s="22" t="s">
        <v>89</v>
      </c>
      <c r="K12" s="19" t="s">
        <v>52</v>
      </c>
      <c r="L12" s="22"/>
    </row>
    <row r="13" spans="1:12" ht="19.5" customHeight="1" x14ac:dyDescent="0.25">
      <c r="A13" s="26">
        <v>46221</v>
      </c>
      <c r="B13" s="16" t="str">
        <f t="shared" si="0"/>
        <v>Samstag</v>
      </c>
      <c r="C13" s="16">
        <f>IF($A13="","",INT(($A13-Übersicht!$C$9)/7)+1)</f>
        <v>2</v>
      </c>
      <c r="D13" s="16" t="s">
        <v>90</v>
      </c>
      <c r="E13" s="21" t="s">
        <v>54</v>
      </c>
      <c r="F13" s="21" t="s">
        <v>39</v>
      </c>
      <c r="G13" s="16">
        <v>90</v>
      </c>
      <c r="H13" s="16">
        <v>4</v>
      </c>
      <c r="I13" s="21" t="s">
        <v>91</v>
      </c>
      <c r="J13" s="21" t="s">
        <v>92</v>
      </c>
      <c r="K13" s="16" t="s">
        <v>52</v>
      </c>
      <c r="L13" s="21" t="s">
        <v>93</v>
      </c>
    </row>
    <row r="14" spans="1:12" ht="19.5" customHeight="1" x14ac:dyDescent="0.25">
      <c r="A14" s="28">
        <v>46222</v>
      </c>
      <c r="B14" s="19" t="str">
        <f t="shared" si="0"/>
        <v>Sonntag</v>
      </c>
      <c r="C14" s="19">
        <f>IF($A14="","",INT(($A14-Übersicht!$C$9)/7)+1)</f>
        <v>2</v>
      </c>
      <c r="D14" s="19"/>
      <c r="E14" s="22" t="s">
        <v>64</v>
      </c>
      <c r="F14" s="22" t="s">
        <v>41</v>
      </c>
      <c r="G14" s="19"/>
      <c r="H14" s="19"/>
      <c r="I14" s="22"/>
      <c r="J14" s="22" t="s">
        <v>85</v>
      </c>
      <c r="K14" s="19" t="s">
        <v>52</v>
      </c>
      <c r="L14" s="22"/>
    </row>
    <row r="15" spans="1:12" ht="19.5" customHeight="1" x14ac:dyDescent="0.25">
      <c r="A15" s="26">
        <v>46223</v>
      </c>
      <c r="B15" s="16" t="str">
        <f t="shared" si="0"/>
        <v>Montag</v>
      </c>
      <c r="C15" s="16">
        <f>IF($A15="","",INT(($A15-Übersicht!$C$9)/7)+1)</f>
        <v>3</v>
      </c>
      <c r="D15" s="16" t="s">
        <v>94</v>
      </c>
      <c r="E15" s="21" t="s">
        <v>60</v>
      </c>
      <c r="F15" s="21" t="s">
        <v>34</v>
      </c>
      <c r="G15" s="16">
        <v>100</v>
      </c>
      <c r="H15" s="16">
        <v>4</v>
      </c>
      <c r="I15" s="21" t="s">
        <v>60</v>
      </c>
      <c r="J15" s="21" t="s">
        <v>95</v>
      </c>
      <c r="K15" s="16" t="s">
        <v>52</v>
      </c>
      <c r="L15" s="21" t="s">
        <v>96</v>
      </c>
    </row>
    <row r="16" spans="1:12" ht="19.5" customHeight="1" x14ac:dyDescent="0.25">
      <c r="A16" s="28">
        <v>46223</v>
      </c>
      <c r="B16" s="19" t="str">
        <f t="shared" si="0"/>
        <v>Montag</v>
      </c>
      <c r="C16" s="19">
        <f>IF($A16="","",INT(($A16-Übersicht!$C$9)/7)+1)</f>
        <v>3</v>
      </c>
      <c r="D16" s="19" t="s">
        <v>97</v>
      </c>
      <c r="E16" s="22" t="s">
        <v>60</v>
      </c>
      <c r="F16" s="22" t="s">
        <v>38</v>
      </c>
      <c r="G16" s="19">
        <v>80</v>
      </c>
      <c r="H16" s="19">
        <v>3</v>
      </c>
      <c r="I16" s="22" t="s">
        <v>60</v>
      </c>
      <c r="J16" s="22" t="s">
        <v>98</v>
      </c>
      <c r="K16" s="19" t="s">
        <v>52</v>
      </c>
      <c r="L16" s="22"/>
    </row>
    <row r="17" spans="1:12" ht="19.5" customHeight="1" x14ac:dyDescent="0.25">
      <c r="A17" s="26">
        <v>46225</v>
      </c>
      <c r="B17" s="16" t="str">
        <f t="shared" si="0"/>
        <v>Mittwoch</v>
      </c>
      <c r="C17" s="16">
        <f>IF($A17="","",INT(($A17-Übersicht!$C$9)/7)+1)</f>
        <v>3</v>
      </c>
      <c r="D17" s="16" t="s">
        <v>94</v>
      </c>
      <c r="E17" s="21" t="s">
        <v>60</v>
      </c>
      <c r="F17" s="21" t="s">
        <v>40</v>
      </c>
      <c r="G17" s="16">
        <v>90</v>
      </c>
      <c r="H17" s="16">
        <v>5</v>
      </c>
      <c r="I17" s="21" t="s">
        <v>60</v>
      </c>
      <c r="J17" s="21" t="s">
        <v>99</v>
      </c>
      <c r="K17" s="16" t="s">
        <v>52</v>
      </c>
      <c r="L17" s="21"/>
    </row>
    <row r="18" spans="1:12" ht="19.5" customHeight="1" x14ac:dyDescent="0.25">
      <c r="A18" s="28">
        <v>46226</v>
      </c>
      <c r="B18" s="19" t="str">
        <f t="shared" si="0"/>
        <v>Donnerstag</v>
      </c>
      <c r="C18" s="19">
        <f>IF($A18="","",INT(($A18-Übersicht!$C$9)/7)+1)</f>
        <v>3</v>
      </c>
      <c r="D18" s="19" t="s">
        <v>97</v>
      </c>
      <c r="E18" s="22" t="s">
        <v>60</v>
      </c>
      <c r="F18" s="22" t="s">
        <v>39</v>
      </c>
      <c r="G18" s="19">
        <v>95</v>
      </c>
      <c r="H18" s="19">
        <v>5</v>
      </c>
      <c r="I18" s="22" t="s">
        <v>60</v>
      </c>
      <c r="J18" s="22" t="s">
        <v>100</v>
      </c>
      <c r="K18" s="19" t="s">
        <v>52</v>
      </c>
      <c r="L18" s="22"/>
    </row>
    <row r="19" spans="1:12" ht="19.5" customHeight="1" x14ac:dyDescent="0.25">
      <c r="A19" s="26">
        <v>46228</v>
      </c>
      <c r="B19" s="16" t="str">
        <f t="shared" si="0"/>
        <v>Samstag</v>
      </c>
      <c r="C19" s="16">
        <f>IF($A19="","",INT(($A19-Übersicht!$C$9)/7)+1)</f>
        <v>3</v>
      </c>
      <c r="D19" s="16" t="s">
        <v>101</v>
      </c>
      <c r="E19" s="21" t="s">
        <v>54</v>
      </c>
      <c r="F19" s="21" t="s">
        <v>39</v>
      </c>
      <c r="G19" s="16">
        <v>90</v>
      </c>
      <c r="H19" s="16">
        <v>4</v>
      </c>
      <c r="I19" s="21" t="s">
        <v>102</v>
      </c>
      <c r="J19" s="21" t="s">
        <v>103</v>
      </c>
      <c r="K19" s="16" t="s">
        <v>52</v>
      </c>
      <c r="L19" s="21"/>
    </row>
    <row r="20" spans="1:12" ht="19.5" customHeight="1" x14ac:dyDescent="0.25">
      <c r="A20" s="28">
        <v>46229</v>
      </c>
      <c r="B20" s="19" t="str">
        <f t="shared" si="0"/>
        <v>Sonntag</v>
      </c>
      <c r="C20" s="19">
        <f>IF($A20="","",INT(($A20-Übersicht!$C$9)/7)+1)</f>
        <v>3</v>
      </c>
      <c r="D20" s="19"/>
      <c r="E20" s="22" t="s">
        <v>64</v>
      </c>
      <c r="F20" s="22" t="s">
        <v>41</v>
      </c>
      <c r="G20" s="19"/>
      <c r="H20" s="19"/>
      <c r="I20" s="22"/>
      <c r="J20" s="22" t="s">
        <v>104</v>
      </c>
      <c r="K20" s="19" t="s">
        <v>52</v>
      </c>
      <c r="L20" s="22"/>
    </row>
    <row r="21" spans="1:12" ht="19.5" customHeight="1" x14ac:dyDescent="0.25">
      <c r="A21" s="26">
        <v>46230</v>
      </c>
      <c r="B21" s="16" t="str">
        <f t="shared" si="0"/>
        <v>Montag</v>
      </c>
      <c r="C21" s="16">
        <f>IF($A21="","",INT(($A21-Übersicht!$C$9)/7)+1)</f>
        <v>4</v>
      </c>
      <c r="D21" s="16"/>
      <c r="E21" s="21" t="s">
        <v>64</v>
      </c>
      <c r="F21" s="21" t="s">
        <v>41</v>
      </c>
      <c r="G21" s="16"/>
      <c r="H21" s="16"/>
      <c r="I21" s="21"/>
      <c r="J21" s="21" t="s">
        <v>105</v>
      </c>
      <c r="K21" s="16" t="s">
        <v>52</v>
      </c>
      <c r="L21" s="21"/>
    </row>
    <row r="22" spans="1:12" ht="19.5" customHeight="1" x14ac:dyDescent="0.25">
      <c r="A22" s="28">
        <v>46231</v>
      </c>
      <c r="B22" s="19" t="str">
        <f t="shared" si="0"/>
        <v>Dienstag</v>
      </c>
      <c r="C22" s="19">
        <f>IF($A22="","",INT(($A22-Übersicht!$C$9)/7)+1)</f>
        <v>4</v>
      </c>
      <c r="D22" s="19" t="s">
        <v>79</v>
      </c>
      <c r="E22" s="22" t="s">
        <v>51</v>
      </c>
      <c r="F22" s="22" t="s">
        <v>41</v>
      </c>
      <c r="G22" s="19">
        <v>60</v>
      </c>
      <c r="H22" s="19">
        <v>2</v>
      </c>
      <c r="I22" s="22" t="s">
        <v>76</v>
      </c>
      <c r="J22" s="22" t="s">
        <v>106</v>
      </c>
      <c r="K22" s="19" t="s">
        <v>52</v>
      </c>
      <c r="L22" s="22"/>
    </row>
    <row r="23" spans="1:12" ht="19.5" customHeight="1" x14ac:dyDescent="0.25">
      <c r="A23" s="26">
        <v>46233</v>
      </c>
      <c r="B23" s="16" t="str">
        <f t="shared" si="0"/>
        <v>Donnerstag</v>
      </c>
      <c r="C23" s="16">
        <f>IF($A23="","",INT(($A23-Übersicht!$C$9)/7)+1)</f>
        <v>4</v>
      </c>
      <c r="D23" s="16" t="s">
        <v>79</v>
      </c>
      <c r="E23" s="21" t="s">
        <v>51</v>
      </c>
      <c r="F23" s="21" t="s">
        <v>38</v>
      </c>
      <c r="G23" s="16">
        <v>90</v>
      </c>
      <c r="H23" s="16">
        <v>4</v>
      </c>
      <c r="I23" s="21" t="s">
        <v>76</v>
      </c>
      <c r="J23" s="21" t="s">
        <v>107</v>
      </c>
      <c r="K23" s="16" t="s">
        <v>52</v>
      </c>
      <c r="L23" s="21"/>
    </row>
    <row r="24" spans="1:12" ht="19.5" customHeight="1" x14ac:dyDescent="0.25">
      <c r="A24" s="28">
        <v>46235</v>
      </c>
      <c r="B24" s="19" t="str">
        <f t="shared" si="0"/>
        <v>Samstag</v>
      </c>
      <c r="C24" s="19">
        <f>IF($A24="","",INT(($A24-Übersicht!$C$9)/7)+1)</f>
        <v>4</v>
      </c>
      <c r="D24" s="19" t="s">
        <v>90</v>
      </c>
      <c r="E24" s="22" t="s">
        <v>54</v>
      </c>
      <c r="F24" s="22" t="s">
        <v>39</v>
      </c>
      <c r="G24" s="19">
        <v>90</v>
      </c>
      <c r="H24" s="19">
        <v>4</v>
      </c>
      <c r="I24" s="22" t="s">
        <v>91</v>
      </c>
      <c r="J24" s="22" t="s">
        <v>108</v>
      </c>
      <c r="K24" s="19" t="s">
        <v>52</v>
      </c>
      <c r="L24" s="22"/>
    </row>
    <row r="25" spans="1:12" ht="19.5" customHeight="1" x14ac:dyDescent="0.25">
      <c r="A25" s="26">
        <v>46237</v>
      </c>
      <c r="B25" s="16" t="str">
        <f t="shared" si="0"/>
        <v>Montag</v>
      </c>
      <c r="C25" s="16">
        <f>IF($A25="","",INT(($A25-Übersicht!$C$9)/7)+1)</f>
        <v>5</v>
      </c>
      <c r="D25" s="16" t="s">
        <v>79</v>
      </c>
      <c r="E25" s="21" t="s">
        <v>51</v>
      </c>
      <c r="F25" s="21" t="s">
        <v>36</v>
      </c>
      <c r="G25" s="16">
        <v>80</v>
      </c>
      <c r="H25" s="16">
        <v>4</v>
      </c>
      <c r="I25" s="21" t="s">
        <v>76</v>
      </c>
      <c r="J25" s="21" t="s">
        <v>109</v>
      </c>
      <c r="K25" s="16" t="s">
        <v>52</v>
      </c>
      <c r="L25" s="21"/>
    </row>
    <row r="26" spans="1:12" ht="19.5" customHeight="1" x14ac:dyDescent="0.25">
      <c r="A26" s="28">
        <v>46239</v>
      </c>
      <c r="B26" s="19" t="str">
        <f t="shared" si="0"/>
        <v>Mittwoch</v>
      </c>
      <c r="C26" s="19">
        <f>IF($A26="","",INT(($A26-Übersicht!$C$9)/7)+1)</f>
        <v>5</v>
      </c>
      <c r="D26" s="19" t="s">
        <v>79</v>
      </c>
      <c r="E26" s="22" t="s">
        <v>51</v>
      </c>
      <c r="F26" s="22" t="s">
        <v>38</v>
      </c>
      <c r="G26" s="19">
        <v>85</v>
      </c>
      <c r="H26" s="19">
        <v>3</v>
      </c>
      <c r="I26" s="22" t="s">
        <v>76</v>
      </c>
      <c r="J26" s="22" t="s">
        <v>110</v>
      </c>
      <c r="K26" s="19" t="s">
        <v>52</v>
      </c>
      <c r="L26" s="22"/>
    </row>
    <row r="27" spans="1:12" ht="19.5" customHeight="1" x14ac:dyDescent="0.25">
      <c r="A27" s="26">
        <v>46241</v>
      </c>
      <c r="B27" s="16" t="str">
        <f t="shared" si="0"/>
        <v>Freitag</v>
      </c>
      <c r="C27" s="16">
        <f>IF($A27="","",INT(($A27-Übersicht!$C$9)/7)+1)</f>
        <v>5</v>
      </c>
      <c r="D27" s="16" t="s">
        <v>79</v>
      </c>
      <c r="E27" s="21" t="s">
        <v>51</v>
      </c>
      <c r="F27" s="21" t="s">
        <v>39</v>
      </c>
      <c r="G27" s="16">
        <v>80</v>
      </c>
      <c r="H27" s="16">
        <v>3</v>
      </c>
      <c r="I27" s="21" t="s">
        <v>76</v>
      </c>
      <c r="J27" s="21" t="s">
        <v>111</v>
      </c>
      <c r="K27" s="16" t="s">
        <v>52</v>
      </c>
      <c r="L27" s="21"/>
    </row>
    <row r="28" spans="1:12" ht="19.5" customHeight="1" x14ac:dyDescent="0.25">
      <c r="A28" s="28">
        <v>46242</v>
      </c>
      <c r="B28" s="19" t="str">
        <f t="shared" si="0"/>
        <v>Samstag</v>
      </c>
      <c r="C28" s="19">
        <f>IF($A28="","",INT(($A28-Übersicht!$C$9)/7)+1)</f>
        <v>5</v>
      </c>
      <c r="D28" s="19" t="s">
        <v>90</v>
      </c>
      <c r="E28" s="22" t="s">
        <v>54</v>
      </c>
      <c r="F28" s="22" t="s">
        <v>39</v>
      </c>
      <c r="G28" s="19">
        <v>90</v>
      </c>
      <c r="H28" s="19">
        <v>4</v>
      </c>
      <c r="I28" s="22" t="s">
        <v>112</v>
      </c>
      <c r="J28" s="22" t="s">
        <v>113</v>
      </c>
      <c r="K28" s="19" t="s">
        <v>52</v>
      </c>
      <c r="L28" s="22" t="s">
        <v>114</v>
      </c>
    </row>
    <row r="29" spans="1:12" ht="19.5" customHeight="1" x14ac:dyDescent="0.25">
      <c r="A29" s="26">
        <v>46243</v>
      </c>
      <c r="B29" s="16" t="str">
        <f t="shared" si="0"/>
        <v>Sonntag</v>
      </c>
      <c r="C29" s="16">
        <f>IF($A29="","",INT(($A29-Übersicht!$C$9)/7)+1)</f>
        <v>5</v>
      </c>
      <c r="D29" s="16"/>
      <c r="E29" s="21" t="s">
        <v>64</v>
      </c>
      <c r="F29" s="21" t="s">
        <v>41</v>
      </c>
      <c r="G29" s="16"/>
      <c r="H29" s="16"/>
      <c r="I29" s="21"/>
      <c r="J29" s="21" t="s">
        <v>85</v>
      </c>
      <c r="K29" s="16" t="s">
        <v>52</v>
      </c>
      <c r="L29" s="21"/>
    </row>
    <row r="30" spans="1:12" ht="19.5" customHeight="1" x14ac:dyDescent="0.25">
      <c r="A30" s="28">
        <v>46245</v>
      </c>
      <c r="B30" s="19" t="str">
        <f t="shared" si="0"/>
        <v>Dienstag</v>
      </c>
      <c r="C30" s="19">
        <f>IF($A30="","",INT(($A30-Übersicht!$C$9)/7)+1)</f>
        <v>6</v>
      </c>
      <c r="D30" s="19" t="s">
        <v>79</v>
      </c>
      <c r="E30" s="22" t="s">
        <v>51</v>
      </c>
      <c r="F30" s="22" t="s">
        <v>38</v>
      </c>
      <c r="G30" s="19">
        <v>75</v>
      </c>
      <c r="H30" s="19">
        <v>3</v>
      </c>
      <c r="I30" s="22" t="s">
        <v>76</v>
      </c>
      <c r="J30" s="22" t="s">
        <v>115</v>
      </c>
      <c r="K30" s="19" t="s">
        <v>52</v>
      </c>
      <c r="L30" s="22"/>
    </row>
    <row r="31" spans="1:12" ht="19.5" customHeight="1" x14ac:dyDescent="0.25">
      <c r="A31" s="26">
        <v>46247</v>
      </c>
      <c r="B31" s="16" t="str">
        <f t="shared" si="0"/>
        <v>Donnerstag</v>
      </c>
      <c r="C31" s="16">
        <f>IF($A31="","",INT(($A31-Übersicht!$C$9)/7)+1)</f>
        <v>6</v>
      </c>
      <c r="D31" s="16" t="s">
        <v>79</v>
      </c>
      <c r="E31" s="21" t="s">
        <v>51</v>
      </c>
      <c r="F31" s="21" t="s">
        <v>36</v>
      </c>
      <c r="G31" s="16">
        <v>65</v>
      </c>
      <c r="H31" s="16">
        <v>2</v>
      </c>
      <c r="I31" s="21" t="s">
        <v>76</v>
      </c>
      <c r="J31" s="21" t="s">
        <v>116</v>
      </c>
      <c r="K31" s="16" t="s">
        <v>52</v>
      </c>
      <c r="L31" s="21"/>
    </row>
    <row r="32" spans="1:12" ht="19.5" customHeight="1" x14ac:dyDescent="0.25">
      <c r="A32" s="28">
        <v>46248</v>
      </c>
      <c r="B32" s="19" t="str">
        <f t="shared" si="0"/>
        <v>Freitag</v>
      </c>
      <c r="C32" s="19">
        <f>IF($A32="","",INT(($A32-Übersicht!$C$9)/7)+1)</f>
        <v>6</v>
      </c>
      <c r="D32" s="19" t="s">
        <v>75</v>
      </c>
      <c r="E32" s="22" t="s">
        <v>51</v>
      </c>
      <c r="F32" s="22" t="s">
        <v>41</v>
      </c>
      <c r="G32" s="19">
        <v>45</v>
      </c>
      <c r="H32" s="19">
        <v>1</v>
      </c>
      <c r="I32" s="22" t="s">
        <v>76</v>
      </c>
      <c r="J32" s="22" t="s">
        <v>117</v>
      </c>
      <c r="K32" s="19" t="s">
        <v>52</v>
      </c>
      <c r="L32" s="22"/>
    </row>
    <row r="33" spans="1:12" ht="19.5" customHeight="1" x14ac:dyDescent="0.25">
      <c r="A33" s="26">
        <v>46250</v>
      </c>
      <c r="B33" s="16" t="str">
        <f t="shared" si="0"/>
        <v>Sonntag</v>
      </c>
      <c r="C33" s="16">
        <f>IF($A33="","",INT(($A33-Übersicht!$C$9)/7)+1)</f>
        <v>6</v>
      </c>
      <c r="D33" s="16" t="s">
        <v>90</v>
      </c>
      <c r="E33" s="21" t="s">
        <v>57</v>
      </c>
      <c r="F33" s="21" t="s">
        <v>39</v>
      </c>
      <c r="G33" s="16">
        <v>90</v>
      </c>
      <c r="H33" s="16">
        <v>5</v>
      </c>
      <c r="I33" s="21" t="s">
        <v>118</v>
      </c>
      <c r="J33" s="21" t="s">
        <v>119</v>
      </c>
      <c r="K33" s="16" t="s">
        <v>52</v>
      </c>
      <c r="L33" s="21" t="s">
        <v>120</v>
      </c>
    </row>
    <row r="34" spans="1:12" ht="19.5" customHeight="1" x14ac:dyDescent="0.25">
      <c r="A34" s="28"/>
      <c r="B34" s="19" t="str">
        <f t="shared" si="0"/>
        <v/>
      </c>
      <c r="C34" s="19" t="str">
        <f>IF($A34="","",INT(($A34-Übersicht!$C$9)/7)+1)</f>
        <v/>
      </c>
      <c r="D34" s="19"/>
      <c r="E34" s="22"/>
      <c r="F34" s="22"/>
      <c r="G34" s="19"/>
      <c r="H34" s="19"/>
      <c r="I34" s="22"/>
      <c r="J34" s="22"/>
      <c r="K34" s="19"/>
      <c r="L34" s="22"/>
    </row>
    <row r="35" spans="1:12" ht="19.5" customHeight="1" x14ac:dyDescent="0.25">
      <c r="A35" s="26"/>
      <c r="B35" s="16" t="str">
        <f t="shared" si="0"/>
        <v/>
      </c>
      <c r="C35" s="16" t="str">
        <f>IF($A35="","",INT(($A35-Übersicht!$C$9)/7)+1)</f>
        <v/>
      </c>
      <c r="D35" s="16"/>
      <c r="E35" s="21"/>
      <c r="F35" s="21"/>
      <c r="G35" s="16"/>
      <c r="H35" s="16"/>
      <c r="I35" s="21"/>
      <c r="J35" s="21"/>
      <c r="K35" s="16"/>
      <c r="L35" s="21"/>
    </row>
    <row r="36" spans="1:12" ht="19.5" customHeight="1" x14ac:dyDescent="0.25">
      <c r="A36" s="28"/>
      <c r="B36" s="19" t="str">
        <f t="shared" si="0"/>
        <v/>
      </c>
      <c r="C36" s="19" t="str">
        <f>IF($A36="","",INT(($A36-Übersicht!$C$9)/7)+1)</f>
        <v/>
      </c>
      <c r="D36" s="19"/>
      <c r="E36" s="22"/>
      <c r="F36" s="22"/>
      <c r="G36" s="19"/>
      <c r="H36" s="19"/>
      <c r="I36" s="22"/>
      <c r="J36" s="22"/>
      <c r="K36" s="19"/>
      <c r="L36" s="22"/>
    </row>
    <row r="37" spans="1:12" ht="19.5" customHeight="1" x14ac:dyDescent="0.25">
      <c r="A37" s="26"/>
      <c r="B37" s="16" t="str">
        <f t="shared" ref="B37:B60" si="1">IF($A37="","",CHOOSE(WEEKDAY($A37,2),"Montag","Dienstag","Mittwoch","Donnerstag","Freitag","Samstag","Sonntag"))</f>
        <v/>
      </c>
      <c r="C37" s="16" t="str">
        <f>IF($A37="","",INT(($A37-Übersicht!$C$9)/7)+1)</f>
        <v/>
      </c>
      <c r="D37" s="16"/>
      <c r="E37" s="21"/>
      <c r="F37" s="21"/>
      <c r="G37" s="16"/>
      <c r="H37" s="16"/>
      <c r="I37" s="21"/>
      <c r="J37" s="21"/>
      <c r="K37" s="16"/>
      <c r="L37" s="21"/>
    </row>
    <row r="38" spans="1:12" ht="19.5" customHeight="1" x14ac:dyDescent="0.25">
      <c r="A38" s="28"/>
      <c r="B38" s="19" t="str">
        <f t="shared" si="1"/>
        <v/>
      </c>
      <c r="C38" s="19" t="str">
        <f>IF($A38="","",INT(($A38-Übersicht!$C$9)/7)+1)</f>
        <v/>
      </c>
      <c r="D38" s="19"/>
      <c r="E38" s="22"/>
      <c r="F38" s="22"/>
      <c r="G38" s="19"/>
      <c r="H38" s="19"/>
      <c r="I38" s="22"/>
      <c r="J38" s="22"/>
      <c r="K38" s="19"/>
      <c r="L38" s="22"/>
    </row>
    <row r="39" spans="1:12" ht="19.5" customHeight="1" x14ac:dyDescent="0.25">
      <c r="A39" s="26"/>
      <c r="B39" s="16" t="str">
        <f t="shared" si="1"/>
        <v/>
      </c>
      <c r="C39" s="16" t="str">
        <f>IF($A39="","",INT(($A39-Übersicht!$C$9)/7)+1)</f>
        <v/>
      </c>
      <c r="D39" s="16"/>
      <c r="E39" s="21"/>
      <c r="F39" s="21"/>
      <c r="G39" s="16"/>
      <c r="H39" s="16"/>
      <c r="I39" s="21"/>
      <c r="J39" s="21"/>
      <c r="K39" s="16"/>
      <c r="L39" s="21"/>
    </row>
    <row r="40" spans="1:12" ht="19.5" customHeight="1" x14ac:dyDescent="0.25">
      <c r="A40" s="28"/>
      <c r="B40" s="19" t="str">
        <f t="shared" si="1"/>
        <v/>
      </c>
      <c r="C40" s="19" t="str">
        <f>IF($A40="","",INT(($A40-Übersicht!$C$9)/7)+1)</f>
        <v/>
      </c>
      <c r="D40" s="19"/>
      <c r="E40" s="22"/>
      <c r="F40" s="22"/>
      <c r="G40" s="19"/>
      <c r="H40" s="19"/>
      <c r="I40" s="22"/>
      <c r="J40" s="22"/>
      <c r="K40" s="19"/>
      <c r="L40" s="22"/>
    </row>
    <row r="41" spans="1:12" ht="19.5" customHeight="1" x14ac:dyDescent="0.25">
      <c r="A41" s="26"/>
      <c r="B41" s="16" t="str">
        <f t="shared" si="1"/>
        <v/>
      </c>
      <c r="C41" s="16" t="str">
        <f>IF($A41="","",INT(($A41-Übersicht!$C$9)/7)+1)</f>
        <v/>
      </c>
      <c r="D41" s="16"/>
      <c r="E41" s="21"/>
      <c r="F41" s="21"/>
      <c r="G41" s="16"/>
      <c r="H41" s="16"/>
      <c r="I41" s="21"/>
      <c r="J41" s="21"/>
      <c r="K41" s="16"/>
      <c r="L41" s="21"/>
    </row>
    <row r="42" spans="1:12" ht="19.5" customHeight="1" x14ac:dyDescent="0.25">
      <c r="A42" s="28"/>
      <c r="B42" s="19" t="str">
        <f t="shared" si="1"/>
        <v/>
      </c>
      <c r="C42" s="19" t="str">
        <f>IF($A42="","",INT(($A42-Übersicht!$C$9)/7)+1)</f>
        <v/>
      </c>
      <c r="D42" s="19"/>
      <c r="E42" s="22"/>
      <c r="F42" s="22"/>
      <c r="G42" s="19"/>
      <c r="H42" s="19"/>
      <c r="I42" s="22"/>
      <c r="J42" s="22"/>
      <c r="K42" s="19"/>
      <c r="L42" s="22"/>
    </row>
    <row r="43" spans="1:12" ht="19.5" customHeight="1" x14ac:dyDescent="0.25">
      <c r="A43" s="26"/>
      <c r="B43" s="16" t="str">
        <f t="shared" si="1"/>
        <v/>
      </c>
      <c r="C43" s="16" t="str">
        <f>IF($A43="","",INT(($A43-Übersicht!$C$9)/7)+1)</f>
        <v/>
      </c>
      <c r="D43" s="16"/>
      <c r="E43" s="21"/>
      <c r="F43" s="21"/>
      <c r="G43" s="16"/>
      <c r="H43" s="16"/>
      <c r="I43" s="21"/>
      <c r="J43" s="21"/>
      <c r="K43" s="16"/>
      <c r="L43" s="21"/>
    </row>
    <row r="44" spans="1:12" ht="19.5" customHeight="1" x14ac:dyDescent="0.25">
      <c r="A44" s="28"/>
      <c r="B44" s="19" t="str">
        <f t="shared" si="1"/>
        <v/>
      </c>
      <c r="C44" s="19" t="str">
        <f>IF($A44="","",INT(($A44-Übersicht!$C$9)/7)+1)</f>
        <v/>
      </c>
      <c r="D44" s="19"/>
      <c r="E44" s="22"/>
      <c r="F44" s="22"/>
      <c r="G44" s="19"/>
      <c r="H44" s="19"/>
      <c r="I44" s="22"/>
      <c r="J44" s="22"/>
      <c r="K44" s="19"/>
      <c r="L44" s="22"/>
    </row>
    <row r="45" spans="1:12" ht="19.5" customHeight="1" x14ac:dyDescent="0.25">
      <c r="A45" s="26"/>
      <c r="B45" s="16" t="str">
        <f t="shared" si="1"/>
        <v/>
      </c>
      <c r="C45" s="16" t="str">
        <f>IF($A45="","",INT(($A45-Übersicht!$C$9)/7)+1)</f>
        <v/>
      </c>
      <c r="D45" s="16"/>
      <c r="E45" s="21"/>
      <c r="F45" s="21"/>
      <c r="G45" s="16"/>
      <c r="H45" s="16"/>
      <c r="I45" s="21"/>
      <c r="J45" s="21"/>
      <c r="K45" s="16"/>
      <c r="L45" s="21"/>
    </row>
    <row r="46" spans="1:12" ht="19.5" customHeight="1" x14ac:dyDescent="0.25">
      <c r="A46" s="28"/>
      <c r="B46" s="19" t="str">
        <f t="shared" si="1"/>
        <v/>
      </c>
      <c r="C46" s="19" t="str">
        <f>IF($A46="","",INT(($A46-Übersicht!$C$9)/7)+1)</f>
        <v/>
      </c>
      <c r="D46" s="19"/>
      <c r="E46" s="22"/>
      <c r="F46" s="22"/>
      <c r="G46" s="19"/>
      <c r="H46" s="19"/>
      <c r="I46" s="22"/>
      <c r="J46" s="22"/>
      <c r="K46" s="19"/>
      <c r="L46" s="22"/>
    </row>
    <row r="47" spans="1:12" ht="19.5" customHeight="1" x14ac:dyDescent="0.25">
      <c r="A47" s="26"/>
      <c r="B47" s="16" t="str">
        <f t="shared" si="1"/>
        <v/>
      </c>
      <c r="C47" s="16" t="str">
        <f>IF($A47="","",INT(($A47-Übersicht!$C$9)/7)+1)</f>
        <v/>
      </c>
      <c r="D47" s="16"/>
      <c r="E47" s="21"/>
      <c r="F47" s="21"/>
      <c r="G47" s="16"/>
      <c r="H47" s="16"/>
      <c r="I47" s="21"/>
      <c r="J47" s="21"/>
      <c r="K47" s="16"/>
      <c r="L47" s="21"/>
    </row>
    <row r="48" spans="1:12" ht="19.5" customHeight="1" x14ac:dyDescent="0.25">
      <c r="A48" s="28"/>
      <c r="B48" s="19" t="str">
        <f t="shared" si="1"/>
        <v/>
      </c>
      <c r="C48" s="19" t="str">
        <f>IF($A48="","",INT(($A48-Übersicht!$C$9)/7)+1)</f>
        <v/>
      </c>
      <c r="D48" s="19"/>
      <c r="E48" s="22"/>
      <c r="F48" s="22"/>
      <c r="G48" s="19"/>
      <c r="H48" s="19"/>
      <c r="I48" s="22"/>
      <c r="J48" s="22"/>
      <c r="K48" s="19"/>
      <c r="L48" s="22"/>
    </row>
    <row r="49" spans="1:12" ht="19.5" customHeight="1" x14ac:dyDescent="0.25">
      <c r="A49" s="26"/>
      <c r="B49" s="16" t="str">
        <f t="shared" si="1"/>
        <v/>
      </c>
      <c r="C49" s="16" t="str">
        <f>IF($A49="","",INT(($A49-Übersicht!$C$9)/7)+1)</f>
        <v/>
      </c>
      <c r="D49" s="16"/>
      <c r="E49" s="21"/>
      <c r="F49" s="21"/>
      <c r="G49" s="16"/>
      <c r="H49" s="16"/>
      <c r="I49" s="21"/>
      <c r="J49" s="21"/>
      <c r="K49" s="16"/>
      <c r="L49" s="21"/>
    </row>
    <row r="50" spans="1:12" ht="19.5" customHeight="1" x14ac:dyDescent="0.25">
      <c r="A50" s="28"/>
      <c r="B50" s="19" t="str">
        <f t="shared" si="1"/>
        <v/>
      </c>
      <c r="C50" s="19" t="str">
        <f>IF($A50="","",INT(($A50-Übersicht!$C$9)/7)+1)</f>
        <v/>
      </c>
      <c r="D50" s="19"/>
      <c r="E50" s="22"/>
      <c r="F50" s="22"/>
      <c r="G50" s="19"/>
      <c r="H50" s="19"/>
      <c r="I50" s="22"/>
      <c r="J50" s="22"/>
      <c r="K50" s="19"/>
      <c r="L50" s="22"/>
    </row>
    <row r="51" spans="1:12" ht="19.5" customHeight="1" x14ac:dyDescent="0.25">
      <c r="A51" s="26"/>
      <c r="B51" s="16" t="str">
        <f t="shared" si="1"/>
        <v/>
      </c>
      <c r="C51" s="16" t="str">
        <f>IF($A51="","",INT(($A51-Übersicht!$C$9)/7)+1)</f>
        <v/>
      </c>
      <c r="D51" s="16"/>
      <c r="E51" s="21"/>
      <c r="F51" s="21"/>
      <c r="G51" s="16"/>
      <c r="H51" s="16"/>
      <c r="I51" s="21"/>
      <c r="J51" s="21"/>
      <c r="K51" s="16"/>
      <c r="L51" s="21"/>
    </row>
    <row r="52" spans="1:12" ht="19.5" customHeight="1" x14ac:dyDescent="0.25">
      <c r="A52" s="28"/>
      <c r="B52" s="19" t="str">
        <f t="shared" si="1"/>
        <v/>
      </c>
      <c r="C52" s="19" t="str">
        <f>IF($A52="","",INT(($A52-Übersicht!$C$9)/7)+1)</f>
        <v/>
      </c>
      <c r="D52" s="19"/>
      <c r="E52" s="22"/>
      <c r="F52" s="22"/>
      <c r="G52" s="19"/>
      <c r="H52" s="19"/>
      <c r="I52" s="22"/>
      <c r="J52" s="22"/>
      <c r="K52" s="19"/>
      <c r="L52" s="22"/>
    </row>
    <row r="53" spans="1:12" ht="19.5" customHeight="1" x14ac:dyDescent="0.25">
      <c r="A53" s="26"/>
      <c r="B53" s="16" t="str">
        <f t="shared" si="1"/>
        <v/>
      </c>
      <c r="C53" s="16" t="str">
        <f>IF($A53="","",INT(($A53-Übersicht!$C$9)/7)+1)</f>
        <v/>
      </c>
      <c r="D53" s="16"/>
      <c r="E53" s="21"/>
      <c r="F53" s="21"/>
      <c r="G53" s="16"/>
      <c r="H53" s="16"/>
      <c r="I53" s="21"/>
      <c r="J53" s="21"/>
      <c r="K53" s="16"/>
      <c r="L53" s="21"/>
    </row>
    <row r="54" spans="1:12" ht="19.5" customHeight="1" x14ac:dyDescent="0.25">
      <c r="A54" s="28"/>
      <c r="B54" s="19" t="str">
        <f t="shared" si="1"/>
        <v/>
      </c>
      <c r="C54" s="19" t="str">
        <f>IF($A54="","",INT(($A54-Übersicht!$C$9)/7)+1)</f>
        <v/>
      </c>
      <c r="D54" s="19"/>
      <c r="E54" s="22"/>
      <c r="F54" s="22"/>
      <c r="G54" s="19"/>
      <c r="H54" s="19"/>
      <c r="I54" s="22"/>
      <c r="J54" s="22"/>
      <c r="K54" s="19"/>
      <c r="L54" s="22"/>
    </row>
    <row r="55" spans="1:12" ht="19.5" customHeight="1" x14ac:dyDescent="0.25">
      <c r="A55" s="26"/>
      <c r="B55" s="16" t="str">
        <f t="shared" si="1"/>
        <v/>
      </c>
      <c r="C55" s="16" t="str">
        <f>IF($A55="","",INT(($A55-Übersicht!$C$9)/7)+1)</f>
        <v/>
      </c>
      <c r="D55" s="16"/>
      <c r="E55" s="21"/>
      <c r="F55" s="21"/>
      <c r="G55" s="16"/>
      <c r="H55" s="16"/>
      <c r="I55" s="21"/>
      <c r="J55" s="21"/>
      <c r="K55" s="16"/>
      <c r="L55" s="21"/>
    </row>
    <row r="56" spans="1:12" ht="19.5" customHeight="1" x14ac:dyDescent="0.25">
      <c r="A56" s="28"/>
      <c r="B56" s="19" t="str">
        <f t="shared" si="1"/>
        <v/>
      </c>
      <c r="C56" s="19" t="str">
        <f>IF($A56="","",INT(($A56-Übersicht!$C$9)/7)+1)</f>
        <v/>
      </c>
      <c r="D56" s="19"/>
      <c r="E56" s="22"/>
      <c r="F56" s="22"/>
      <c r="G56" s="19"/>
      <c r="H56" s="19"/>
      <c r="I56" s="22"/>
      <c r="J56" s="22"/>
      <c r="K56" s="19"/>
      <c r="L56" s="22"/>
    </row>
    <row r="57" spans="1:12" ht="19.5" customHeight="1" x14ac:dyDescent="0.25">
      <c r="A57" s="26"/>
      <c r="B57" s="16" t="str">
        <f t="shared" si="1"/>
        <v/>
      </c>
      <c r="C57" s="16" t="str">
        <f>IF($A57="","",INT(($A57-Übersicht!$C$9)/7)+1)</f>
        <v/>
      </c>
      <c r="D57" s="16"/>
      <c r="E57" s="21"/>
      <c r="F57" s="21"/>
      <c r="G57" s="16"/>
      <c r="H57" s="16"/>
      <c r="I57" s="21"/>
      <c r="J57" s="21"/>
      <c r="K57" s="16"/>
      <c r="L57" s="21"/>
    </row>
    <row r="58" spans="1:12" ht="19.5" customHeight="1" x14ac:dyDescent="0.25">
      <c r="A58" s="28"/>
      <c r="B58" s="19" t="str">
        <f t="shared" si="1"/>
        <v/>
      </c>
      <c r="C58" s="19" t="str">
        <f>IF($A58="","",INT(($A58-Übersicht!$C$9)/7)+1)</f>
        <v/>
      </c>
      <c r="D58" s="19"/>
      <c r="E58" s="22"/>
      <c r="F58" s="22"/>
      <c r="G58" s="19"/>
      <c r="H58" s="19"/>
      <c r="I58" s="22"/>
      <c r="J58" s="22"/>
      <c r="K58" s="19"/>
      <c r="L58" s="22"/>
    </row>
    <row r="59" spans="1:12" ht="19.5" customHeight="1" x14ac:dyDescent="0.25">
      <c r="A59" s="26"/>
      <c r="B59" s="16" t="str">
        <f t="shared" si="1"/>
        <v/>
      </c>
      <c r="C59" s="16" t="str">
        <f>IF($A59="","",INT(($A59-Übersicht!$C$9)/7)+1)</f>
        <v/>
      </c>
      <c r="D59" s="16"/>
      <c r="E59" s="21"/>
      <c r="F59" s="21"/>
      <c r="G59" s="16"/>
      <c r="H59" s="16"/>
      <c r="I59" s="21"/>
      <c r="J59" s="21"/>
      <c r="K59" s="16"/>
      <c r="L59" s="21"/>
    </row>
    <row r="60" spans="1:12" ht="19.5" customHeight="1" x14ac:dyDescent="0.25">
      <c r="A60" s="28"/>
      <c r="B60" s="19" t="str">
        <f t="shared" si="1"/>
        <v/>
      </c>
      <c r="C60" s="19" t="str">
        <f>IF($A60="","",INT(($A60-Übersicht!$C$9)/7)+1)</f>
        <v/>
      </c>
      <c r="D60" s="19"/>
      <c r="E60" s="22"/>
      <c r="F60" s="22"/>
      <c r="G60" s="19"/>
      <c r="H60" s="19"/>
      <c r="I60" s="22"/>
      <c r="J60" s="22"/>
      <c r="K60" s="19"/>
      <c r="L60" s="22"/>
    </row>
  </sheetData>
  <autoFilter ref="A4:L60" xr:uid="{00000000-0009-0000-0000-000002000000}"/>
  <mergeCells count="2">
    <mergeCell ref="A1:L1"/>
    <mergeCell ref="A2:L2"/>
  </mergeCells>
  <conditionalFormatting sqref="E5:L60">
    <cfRule type="expression" dxfId="5" priority="2">
      <formula>$E5="Testspiel"</formula>
    </cfRule>
    <cfRule type="expression" dxfId="4" priority="3">
      <formula>$E5="Pflichtspiel"</formula>
    </cfRule>
    <cfRule type="expression" dxfId="3" priority="4">
      <formula>$E5="Trainingslager"</formula>
    </cfRule>
    <cfRule type="expression" dxfId="2" priority="5">
      <formula>$E5="Ruhetag"</formula>
    </cfRule>
  </conditionalFormatting>
  <conditionalFormatting sqref="H5:H60">
    <cfRule type="colorScale" priority="6">
      <colorScale>
        <cfvo type="num" val="1"/>
        <cfvo type="num" val="3"/>
        <cfvo type="num" val="5"/>
        <color rgb="FF9CCB86"/>
        <color rgb="FFFFD666"/>
        <color rgb="FFE8795A"/>
      </colorScale>
    </cfRule>
  </conditionalFormatting>
  <conditionalFormatting sqref="K5:K60">
    <cfRule type="expression" dxfId="1" priority="7">
      <formula>$K5="Erledigt"</formula>
    </cfRule>
    <cfRule type="expression" dxfId="0" priority="8">
      <formula>$K5="Abgesagt"</formula>
    </cfRule>
  </conditionalFormatting>
  <dataValidations count="1">
    <dataValidation type="list" allowBlank="1" sqref="H5:H60" xr:uid="{00000000-0002-0000-0200-000003000000}">
      <formula1>"1,2,3,4,5"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200-000000000000}">
          <x14:formula1>
            <xm:f>Listen!$A$2:$A$7</xm:f>
          </x14:formula1>
          <x14:formula2>
            <xm:f>0</xm:f>
          </x14:formula2>
          <xm:sqref>E5:E60</xm:sqref>
        </x14:dataValidation>
        <x14:dataValidation type="list" allowBlank="1" xr:uid="{00000000-0002-0000-0200-000001000000}">
          <x14:formula1>
            <xm:f>Listen!$C$2:$C$9</xm:f>
          </x14:formula1>
          <x14:formula2>
            <xm:f>0</xm:f>
          </x14:formula2>
          <xm:sqref>F5:F60</xm:sqref>
        </x14:dataValidation>
        <x14:dataValidation type="list" allowBlank="1" xr:uid="{00000000-0002-0000-0200-000002000000}">
          <x14:formula1>
            <xm:f>Listen!$E$2:$E$7</xm:f>
          </x14:formula1>
          <x14:formula2>
            <xm:f>0</xm:f>
          </x14:formula2>
          <xm:sqref>K5:K60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Übersicht</vt:lpstr>
      <vt:lpstr>Listen</vt:lpstr>
      <vt:lpstr>Vorbereitungsplan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2026-10-01T06:24:23Z</dcterms:created>
  <dcterms:modified xsi:type="dcterms:W3CDTF">2026-10-01T06:30:21Z</dcterms:modified>
  <dc:language>en-US</dc:language>
</cp:coreProperties>
</file>